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документация (нов)\кабинет юриста\o nedvighke\образцы\"/>
    </mc:Choice>
  </mc:AlternateContent>
  <bookViews>
    <workbookView xWindow="0" yWindow="0" windowWidth="24465" windowHeight="10890" tabRatio="547"/>
  </bookViews>
  <sheets>
    <sheet name="Аннуитет (ПЛТ)" sheetId="19" r:id="rId1"/>
    <sheet name="EXCEL2.RU" sheetId="21" r:id="rId2"/>
    <sheet name="EXCEL2.RU (2)" sheetId="22" state="veryHidden" r:id="rId3"/>
    <sheet name="Аннуитет (без ПЛТ)" sheetId="20" r:id="rId4"/>
    <sheet name="Лист7" sheetId="18" state="hidden" r:id="rId5"/>
  </sheets>
  <definedNames>
    <definedName name="anscount" hidden="1">2</definedName>
    <definedName name="limcount" hidden="1">2</definedName>
    <definedName name="sencount" hidden="1">4</definedName>
  </definedNames>
  <calcPr calcId="152511"/>
</workbook>
</file>

<file path=xl/calcChain.xml><?xml version="1.0" encoding="utf-8"?>
<calcChain xmlns="http://schemas.openxmlformats.org/spreadsheetml/2006/main">
  <c r="L20" i="19" l="1"/>
  <c r="B8" i="20"/>
  <c r="B7" i="20"/>
  <c r="B11" i="19"/>
  <c r="B10" i="19"/>
  <c r="N20" i="19" s="1"/>
  <c r="C46" i="19"/>
  <c r="B20" i="19"/>
  <c r="A77" i="20"/>
  <c r="A76" i="20"/>
  <c r="A75" i="20"/>
  <c r="A74" i="20"/>
  <c r="A73" i="20"/>
  <c r="A72" i="20"/>
  <c r="A71" i="20"/>
  <c r="A70" i="20"/>
  <c r="A69" i="20"/>
  <c r="A68" i="20"/>
  <c r="A67" i="20"/>
  <c r="A66" i="20"/>
  <c r="A65" i="20"/>
  <c r="A64" i="20"/>
  <c r="A63" i="20"/>
  <c r="A62" i="20"/>
  <c r="A61" i="20"/>
  <c r="A60" i="20"/>
  <c r="A59" i="20"/>
  <c r="A58" i="20"/>
  <c r="A57" i="20"/>
  <c r="A56" i="20"/>
  <c r="A55" i="20"/>
  <c r="A54" i="20"/>
  <c r="A53" i="20"/>
  <c r="A52" i="20"/>
  <c r="A51" i="20"/>
  <c r="A50" i="20"/>
  <c r="A49" i="20"/>
  <c r="A48" i="20"/>
  <c r="A47" i="20"/>
  <c r="A46" i="20"/>
  <c r="A45" i="20"/>
  <c r="A44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B18" i="20"/>
  <c r="A18" i="20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44" i="19"/>
  <c r="A45" i="19"/>
  <c r="A46" i="19"/>
  <c r="A47" i="19"/>
  <c r="A48" i="19"/>
  <c r="A49" i="19"/>
  <c r="A50" i="19"/>
  <c r="A51" i="19"/>
  <c r="A52" i="19"/>
  <c r="A53" i="19"/>
  <c r="A54" i="19"/>
  <c r="A55" i="19"/>
  <c r="A56" i="19"/>
  <c r="A57" i="19"/>
  <c r="A58" i="19"/>
  <c r="A59" i="19"/>
  <c r="A60" i="19"/>
  <c r="A61" i="19"/>
  <c r="A62" i="19"/>
  <c r="A63" i="19"/>
  <c r="A64" i="19"/>
  <c r="A65" i="19"/>
  <c r="A66" i="19"/>
  <c r="A67" i="19"/>
  <c r="A68" i="19"/>
  <c r="A69" i="19"/>
  <c r="A70" i="19"/>
  <c r="A71" i="19"/>
  <c r="A72" i="19"/>
  <c r="A73" i="19"/>
  <c r="A74" i="19"/>
  <c r="A75" i="19"/>
  <c r="A76" i="19"/>
  <c r="A77" i="19"/>
  <c r="A78" i="19"/>
  <c r="A79" i="19"/>
  <c r="E52" i="19"/>
  <c r="E44" i="19"/>
  <c r="E36" i="19"/>
  <c r="D32" i="19"/>
  <c r="E25" i="19"/>
  <c r="D21" i="19"/>
  <c r="E66" i="19"/>
  <c r="E50" i="19"/>
  <c r="E79" i="19"/>
  <c r="E75" i="19"/>
  <c r="E71" i="19"/>
  <c r="E67" i="19"/>
  <c r="E63" i="19"/>
  <c r="E59" i="19"/>
  <c r="E55" i="19"/>
  <c r="E51" i="19"/>
  <c r="E47" i="19"/>
  <c r="E43" i="19"/>
  <c r="E39" i="19"/>
  <c r="E35" i="19"/>
  <c r="E31" i="19"/>
  <c r="E27" i="19"/>
  <c r="E24" i="19"/>
  <c r="E20" i="19"/>
  <c r="C13" i="20"/>
  <c r="E77" i="20" s="1"/>
  <c r="E75" i="20"/>
  <c r="E73" i="20"/>
  <c r="E71" i="20"/>
  <c r="E67" i="20"/>
  <c r="E65" i="20"/>
  <c r="E63" i="20"/>
  <c r="E59" i="20"/>
  <c r="E57" i="20"/>
  <c r="E55" i="20"/>
  <c r="E51" i="20"/>
  <c r="E49" i="20"/>
  <c r="E47" i="20"/>
  <c r="E43" i="20"/>
  <c r="E41" i="20"/>
  <c r="E39" i="20"/>
  <c r="E35" i="20"/>
  <c r="E33" i="20"/>
  <c r="E31" i="20"/>
  <c r="E27" i="20"/>
  <c r="E25" i="20"/>
  <c r="E23" i="20"/>
  <c r="E19" i="20"/>
  <c r="E76" i="20"/>
  <c r="E74" i="20"/>
  <c r="E70" i="20"/>
  <c r="E68" i="20"/>
  <c r="E66" i="20"/>
  <c r="E62" i="20"/>
  <c r="E60" i="20"/>
  <c r="E58" i="20"/>
  <c r="E54" i="20"/>
  <c r="E52" i="20"/>
  <c r="E50" i="20"/>
  <c r="E46" i="20"/>
  <c r="E44" i="20"/>
  <c r="E42" i="20"/>
  <c r="E40" i="20"/>
  <c r="E38" i="20"/>
  <c r="E36" i="20"/>
  <c r="E34" i="20"/>
  <c r="E32" i="20"/>
  <c r="E30" i="20"/>
  <c r="E28" i="20"/>
  <c r="E26" i="20"/>
  <c r="E24" i="20"/>
  <c r="E22" i="20"/>
  <c r="E20" i="20"/>
  <c r="E18" i="20"/>
  <c r="D19" i="20"/>
  <c r="D21" i="20"/>
  <c r="D23" i="20"/>
  <c r="D25" i="20"/>
  <c r="D27" i="20"/>
  <c r="D29" i="20"/>
  <c r="D31" i="20"/>
  <c r="D33" i="20"/>
  <c r="D35" i="20"/>
  <c r="D37" i="20"/>
  <c r="D39" i="20"/>
  <c r="D41" i="20"/>
  <c r="D43" i="20"/>
  <c r="D45" i="20"/>
  <c r="D47" i="20"/>
  <c r="D49" i="20"/>
  <c r="D51" i="20"/>
  <c r="D53" i="20"/>
  <c r="D55" i="20"/>
  <c r="D57" i="20"/>
  <c r="D59" i="20"/>
  <c r="D61" i="20"/>
  <c r="D63" i="20"/>
  <c r="D65" i="20"/>
  <c r="D67" i="20"/>
  <c r="D69" i="20"/>
  <c r="D71" i="20"/>
  <c r="D73" i="20"/>
  <c r="D75" i="20"/>
  <c r="D77" i="20"/>
  <c r="C19" i="20"/>
  <c r="C21" i="20"/>
  <c r="C23" i="20"/>
  <c r="C25" i="20"/>
  <c r="C27" i="20"/>
  <c r="C29" i="20"/>
  <c r="C31" i="20"/>
  <c r="C33" i="20"/>
  <c r="C35" i="20"/>
  <c r="C37" i="20"/>
  <c r="C39" i="20"/>
  <c r="C41" i="20"/>
  <c r="C43" i="20"/>
  <c r="C45" i="20"/>
  <c r="C47" i="20"/>
  <c r="C49" i="20"/>
  <c r="C51" i="20"/>
  <c r="C53" i="20"/>
  <c r="C55" i="20"/>
  <c r="C57" i="20"/>
  <c r="C59" i="20"/>
  <c r="C61" i="20"/>
  <c r="C63" i="20"/>
  <c r="C65" i="20"/>
  <c r="C67" i="20"/>
  <c r="C69" i="20"/>
  <c r="C71" i="20"/>
  <c r="C73" i="20"/>
  <c r="C75" i="20"/>
  <c r="C77" i="20"/>
  <c r="D18" i="20"/>
  <c r="G18" i="20" s="1"/>
  <c r="D20" i="20"/>
  <c r="D22" i="20"/>
  <c r="B25" i="20" s="1"/>
  <c r="G25" i="20" s="1"/>
  <c r="D24" i="20"/>
  <c r="D26" i="20"/>
  <c r="D28" i="20"/>
  <c r="D30" i="20"/>
  <c r="B57" i="20" s="1"/>
  <c r="G57" i="20" s="1"/>
  <c r="D32" i="20"/>
  <c r="D34" i="20"/>
  <c r="D36" i="20"/>
  <c r="D38" i="20"/>
  <c r="D40" i="20"/>
  <c r="D42" i="20"/>
  <c r="D44" i="20"/>
  <c r="D46" i="20"/>
  <c r="D48" i="20"/>
  <c r="D50" i="20"/>
  <c r="D52" i="20"/>
  <c r="D54" i="20"/>
  <c r="F56" i="20" s="1"/>
  <c r="D56" i="20"/>
  <c r="D58" i="20"/>
  <c r="D60" i="20"/>
  <c r="D62" i="20"/>
  <c r="D64" i="20"/>
  <c r="D66" i="20"/>
  <c r="D68" i="20"/>
  <c r="D70" i="20"/>
  <c r="D72" i="20"/>
  <c r="D74" i="20"/>
  <c r="D76" i="20"/>
  <c r="C18" i="20"/>
  <c r="C78" i="20" s="1"/>
  <c r="C20" i="20"/>
  <c r="C22" i="20"/>
  <c r="C24" i="20"/>
  <c r="C26" i="20"/>
  <c r="C28" i="20"/>
  <c r="C30" i="20"/>
  <c r="C32" i="20"/>
  <c r="C34" i="20"/>
  <c r="C36" i="20"/>
  <c r="C38" i="20"/>
  <c r="C40" i="20"/>
  <c r="C42" i="20"/>
  <c r="C44" i="20"/>
  <c r="C46" i="20"/>
  <c r="C48" i="20"/>
  <c r="C50" i="20"/>
  <c r="C52" i="20"/>
  <c r="C54" i="20"/>
  <c r="C56" i="20"/>
  <c r="C58" i="20"/>
  <c r="C60" i="20"/>
  <c r="C62" i="20"/>
  <c r="C64" i="20"/>
  <c r="C66" i="20"/>
  <c r="C68" i="20"/>
  <c r="C70" i="20"/>
  <c r="C72" i="20"/>
  <c r="C74" i="20"/>
  <c r="C76" i="20"/>
  <c r="F18" i="20"/>
  <c r="B21" i="20"/>
  <c r="G21" i="20" s="1"/>
  <c r="B37" i="20"/>
  <c r="G37" i="20" s="1"/>
  <c r="B53" i="20"/>
  <c r="G53" i="20" s="1"/>
  <c r="B69" i="20"/>
  <c r="G69" i="20" s="1"/>
  <c r="F24" i="20"/>
  <c r="F36" i="20"/>
  <c r="F40" i="20"/>
  <c r="F52" i="20"/>
  <c r="F68" i="20"/>
  <c r="F72" i="20"/>
  <c r="B27" i="20"/>
  <c r="G27" i="20" s="1"/>
  <c r="B31" i="20"/>
  <c r="G31" i="20" s="1"/>
  <c r="B43" i="20"/>
  <c r="G43" i="20" s="1"/>
  <c r="B47" i="20"/>
  <c r="G47" i="20" s="1"/>
  <c r="B59" i="20"/>
  <c r="G59" i="20" s="1"/>
  <c r="B63" i="20"/>
  <c r="G63" i="20" s="1"/>
  <c r="B75" i="20"/>
  <c r="F22" i="20"/>
  <c r="F34" i="20"/>
  <c r="F38" i="20"/>
  <c r="F50" i="20"/>
  <c r="F54" i="20"/>
  <c r="F66" i="20"/>
  <c r="F70" i="20"/>
  <c r="F19" i="20"/>
  <c r="F21" i="20"/>
  <c r="F23" i="20"/>
  <c r="F25" i="20"/>
  <c r="F31" i="20"/>
  <c r="F33" i="20"/>
  <c r="F39" i="20"/>
  <c r="F41" i="20"/>
  <c r="F47" i="20"/>
  <c r="F49" i="20"/>
  <c r="F55" i="20"/>
  <c r="F57" i="20"/>
  <c r="F63" i="20"/>
  <c r="F65" i="20"/>
  <c r="F71" i="20"/>
  <c r="F73" i="20"/>
  <c r="B20" i="20"/>
  <c r="G20" i="20"/>
  <c r="B22" i="20"/>
  <c r="G22" i="20" s="1"/>
  <c r="B26" i="20"/>
  <c r="G26" i="20" s="1"/>
  <c r="B30" i="20"/>
  <c r="G30" i="20" s="1"/>
  <c r="B32" i="20"/>
  <c r="G32" i="20" s="1"/>
  <c r="B36" i="20"/>
  <c r="G36" i="20"/>
  <c r="B42" i="20"/>
  <c r="G42" i="20" s="1"/>
  <c r="B46" i="20"/>
  <c r="G46" i="20" s="1"/>
  <c r="B48" i="20"/>
  <c r="G48" i="20" s="1"/>
  <c r="B52" i="20"/>
  <c r="G52" i="20" s="1"/>
  <c r="B58" i="20"/>
  <c r="G58" i="20" s="1"/>
  <c r="B62" i="20"/>
  <c r="G62" i="20" s="1"/>
  <c r="B64" i="20"/>
  <c r="G64" i="20" s="1"/>
  <c r="B68" i="20"/>
  <c r="G68" i="20"/>
  <c r="B74" i="20"/>
  <c r="G74" i="20" s="1"/>
  <c r="G75" i="20"/>
  <c r="E60" i="19" l="1"/>
  <c r="E68" i="19"/>
  <c r="E76" i="19"/>
  <c r="C78" i="19"/>
  <c r="C75" i="19"/>
  <c r="H59" i="19"/>
  <c r="D22" i="19"/>
  <c r="D26" i="19"/>
  <c r="D29" i="19"/>
  <c r="D33" i="19"/>
  <c r="D37" i="19"/>
  <c r="D41" i="19"/>
  <c r="D45" i="19"/>
  <c r="D49" i="19"/>
  <c r="D53" i="19"/>
  <c r="D57" i="19"/>
  <c r="D61" i="19"/>
  <c r="D65" i="19"/>
  <c r="D69" i="19"/>
  <c r="D73" i="19"/>
  <c r="D77" i="19"/>
  <c r="D38" i="19"/>
  <c r="D54" i="19"/>
  <c r="D70" i="19"/>
  <c r="E21" i="19"/>
  <c r="D28" i="19"/>
  <c r="E32" i="19"/>
  <c r="D40" i="19"/>
  <c r="D48" i="19"/>
  <c r="D56" i="19"/>
  <c r="D64" i="19"/>
  <c r="D72" i="19"/>
  <c r="C70" i="19"/>
  <c r="C38" i="19"/>
  <c r="C67" i="19"/>
  <c r="H33" i="19"/>
  <c r="E22" i="19"/>
  <c r="E26" i="19"/>
  <c r="E29" i="19"/>
  <c r="E33" i="19"/>
  <c r="E37" i="19"/>
  <c r="E41" i="19"/>
  <c r="E45" i="19"/>
  <c r="E49" i="19"/>
  <c r="E53" i="19"/>
  <c r="E57" i="19"/>
  <c r="E61" i="19"/>
  <c r="E65" i="19"/>
  <c r="E69" i="19"/>
  <c r="E73" i="19"/>
  <c r="E77" i="19"/>
  <c r="E42" i="19"/>
  <c r="E58" i="19"/>
  <c r="E74" i="19"/>
  <c r="D23" i="19"/>
  <c r="E28" i="19"/>
  <c r="E34" i="19"/>
  <c r="E40" i="19"/>
  <c r="E48" i="19"/>
  <c r="E56" i="19"/>
  <c r="E64" i="19"/>
  <c r="E72" i="19"/>
  <c r="E78" i="19"/>
  <c r="D74" i="19"/>
  <c r="E70" i="19"/>
  <c r="D66" i="19"/>
  <c r="E62" i="19"/>
  <c r="D58" i="19"/>
  <c r="E54" i="19"/>
  <c r="D50" i="19"/>
  <c r="E46" i="19"/>
  <c r="D42" i="19"/>
  <c r="E38" i="19"/>
  <c r="D34" i="19"/>
  <c r="D30" i="19"/>
  <c r="C15" i="19"/>
  <c r="I47" i="19" s="1"/>
  <c r="E23" i="19"/>
  <c r="C62" i="19"/>
  <c r="C30" i="19"/>
  <c r="C59" i="19"/>
  <c r="I79" i="19"/>
  <c r="H68" i="19"/>
  <c r="H62" i="19"/>
  <c r="D20" i="19"/>
  <c r="D24" i="19"/>
  <c r="D27" i="19"/>
  <c r="D31" i="19"/>
  <c r="D35" i="19"/>
  <c r="D39" i="19"/>
  <c r="D43" i="19"/>
  <c r="D47" i="19"/>
  <c r="D51" i="19"/>
  <c r="D55" i="19"/>
  <c r="D59" i="19"/>
  <c r="D63" i="19"/>
  <c r="D67" i="19"/>
  <c r="D71" i="19"/>
  <c r="D75" i="19"/>
  <c r="D79" i="19"/>
  <c r="D46" i="19"/>
  <c r="D62" i="19"/>
  <c r="D78" i="19"/>
  <c r="D25" i="19"/>
  <c r="E30" i="19"/>
  <c r="D36" i="19"/>
  <c r="D44" i="19"/>
  <c r="D52" i="19"/>
  <c r="D60" i="19"/>
  <c r="D68" i="19"/>
  <c r="D76" i="19"/>
  <c r="C54" i="19"/>
  <c r="C22" i="19"/>
  <c r="C51" i="19"/>
  <c r="B57" i="19"/>
  <c r="G57" i="19" s="1"/>
  <c r="I60" i="19"/>
  <c r="I28" i="19"/>
  <c r="I57" i="19"/>
  <c r="I25" i="19"/>
  <c r="H24" i="19"/>
  <c r="H21" i="19"/>
  <c r="H79" i="19"/>
  <c r="H47" i="19"/>
  <c r="I74" i="19"/>
  <c r="I58" i="19"/>
  <c r="I42" i="19"/>
  <c r="I26" i="19"/>
  <c r="I71" i="19"/>
  <c r="I55" i="19"/>
  <c r="I39" i="19"/>
  <c r="I23" i="19"/>
  <c r="H52" i="19"/>
  <c r="H20" i="19"/>
  <c r="H49" i="19"/>
  <c r="H78" i="19"/>
  <c r="H46" i="19"/>
  <c r="H75" i="19"/>
  <c r="H43" i="19"/>
  <c r="C35" i="19"/>
  <c r="I76" i="19"/>
  <c r="I44" i="19"/>
  <c r="I73" i="19"/>
  <c r="I41" i="19"/>
  <c r="H56" i="19"/>
  <c r="H53" i="19"/>
  <c r="H50" i="19"/>
  <c r="B41" i="19"/>
  <c r="G41" i="19" s="1"/>
  <c r="G20" i="19"/>
  <c r="B25" i="19"/>
  <c r="G25" i="19" s="1"/>
  <c r="I68" i="19"/>
  <c r="I52" i="19"/>
  <c r="I36" i="19"/>
  <c r="I20" i="19"/>
  <c r="I65" i="19"/>
  <c r="I49" i="19"/>
  <c r="I33" i="19"/>
  <c r="H72" i="19"/>
  <c r="H40" i="19"/>
  <c r="H69" i="19"/>
  <c r="H37" i="19"/>
  <c r="H66" i="19"/>
  <c r="H34" i="19"/>
  <c r="H63" i="19"/>
  <c r="H31" i="19"/>
  <c r="B52" i="19"/>
  <c r="G52" i="19" s="1"/>
  <c r="B21" i="19"/>
  <c r="G21" i="19" s="1"/>
  <c r="F20" i="19"/>
  <c r="B65" i="19"/>
  <c r="G65" i="19" s="1"/>
  <c r="F21" i="19"/>
  <c r="E80" i="19"/>
  <c r="C43" i="19"/>
  <c r="B36" i="19"/>
  <c r="G36" i="19" s="1"/>
  <c r="B49" i="19"/>
  <c r="G49" i="19" s="1"/>
  <c r="B42" i="19"/>
  <c r="G42" i="19" s="1"/>
  <c r="F46" i="19"/>
  <c r="F22" i="19"/>
  <c r="B31" i="19"/>
  <c r="G31" i="19" s="1"/>
  <c r="B32" i="19"/>
  <c r="G32" i="19" s="1"/>
  <c r="C27" i="19"/>
  <c r="F78" i="19"/>
  <c r="B79" i="19"/>
  <c r="G79" i="19" s="1"/>
  <c r="B23" i="19"/>
  <c r="G23" i="19" s="1"/>
  <c r="F29" i="19"/>
  <c r="B40" i="19"/>
  <c r="G40" i="19" s="1"/>
  <c r="F52" i="19"/>
  <c r="B69" i="19"/>
  <c r="G69" i="19" s="1"/>
  <c r="B37" i="19"/>
  <c r="G37" i="19" s="1"/>
  <c r="F63" i="19"/>
  <c r="B78" i="19"/>
  <c r="G78" i="19" s="1"/>
  <c r="B46" i="19"/>
  <c r="G46" i="19" s="1"/>
  <c r="B22" i="19"/>
  <c r="G22" i="19" s="1"/>
  <c r="F74" i="19"/>
  <c r="F42" i="19"/>
  <c r="B67" i="19"/>
  <c r="G67" i="19" s="1"/>
  <c r="B35" i="19"/>
  <c r="G35" i="19" s="1"/>
  <c r="F61" i="19"/>
  <c r="B72" i="20"/>
  <c r="G72" i="20" s="1"/>
  <c r="B66" i="20"/>
  <c r="G66" i="20" s="1"/>
  <c r="B56" i="20"/>
  <c r="G56" i="20" s="1"/>
  <c r="B50" i="20"/>
  <c r="G50" i="20" s="1"/>
  <c r="B40" i="20"/>
  <c r="G40" i="20" s="1"/>
  <c r="B34" i="20"/>
  <c r="G34" i="20" s="1"/>
  <c r="B24" i="20"/>
  <c r="G24" i="20" s="1"/>
  <c r="F77" i="20"/>
  <c r="F69" i="20"/>
  <c r="F61" i="20"/>
  <c r="F53" i="20"/>
  <c r="F45" i="20"/>
  <c r="F37" i="20"/>
  <c r="F29" i="20"/>
  <c r="F62" i="20"/>
  <c r="F46" i="20"/>
  <c r="F30" i="20"/>
  <c r="B71" i="20"/>
  <c r="G71" i="20" s="1"/>
  <c r="B55" i="20"/>
  <c r="G55" i="20" s="1"/>
  <c r="B39" i="20"/>
  <c r="G39" i="20" s="1"/>
  <c r="B23" i="20"/>
  <c r="G23" i="20" s="1"/>
  <c r="F64" i="20"/>
  <c r="F48" i="20"/>
  <c r="F32" i="20"/>
  <c r="B77" i="20"/>
  <c r="G77" i="20" s="1"/>
  <c r="B65" i="20"/>
  <c r="G65" i="20" s="1"/>
  <c r="B49" i="20"/>
  <c r="G49" i="20" s="1"/>
  <c r="B33" i="20"/>
  <c r="G33" i="20" s="1"/>
  <c r="B76" i="20"/>
  <c r="G76" i="20" s="1"/>
  <c r="F74" i="20"/>
  <c r="F41" i="19"/>
  <c r="F76" i="20"/>
  <c r="B70" i="20"/>
  <c r="G70" i="20" s="1"/>
  <c r="B60" i="20"/>
  <c r="G60" i="20" s="1"/>
  <c r="B54" i="20"/>
  <c r="G54" i="20" s="1"/>
  <c r="B44" i="20"/>
  <c r="G44" i="20" s="1"/>
  <c r="B38" i="20"/>
  <c r="G38" i="20" s="1"/>
  <c r="B28" i="20"/>
  <c r="G28" i="20" s="1"/>
  <c r="F75" i="20"/>
  <c r="F67" i="20"/>
  <c r="F59" i="20"/>
  <c r="F51" i="20"/>
  <c r="F43" i="20"/>
  <c r="F35" i="20"/>
  <c r="F27" i="20"/>
  <c r="F58" i="20"/>
  <c r="F42" i="20"/>
  <c r="F26" i="20"/>
  <c r="B67" i="20"/>
  <c r="G67" i="20" s="1"/>
  <c r="B51" i="20"/>
  <c r="G51" i="20" s="1"/>
  <c r="B35" i="20"/>
  <c r="G35" i="20" s="1"/>
  <c r="D78" i="20"/>
  <c r="F60" i="20"/>
  <c r="F44" i="20"/>
  <c r="F28" i="20"/>
  <c r="B73" i="20"/>
  <c r="G73" i="20" s="1"/>
  <c r="B61" i="20"/>
  <c r="G61" i="20" s="1"/>
  <c r="B45" i="20"/>
  <c r="G45" i="20" s="1"/>
  <c r="B29" i="20"/>
  <c r="G29" i="20" s="1"/>
  <c r="F20" i="20"/>
  <c r="B19" i="20"/>
  <c r="G19" i="20" s="1"/>
  <c r="B41" i="20"/>
  <c r="G41" i="20" s="1"/>
  <c r="I72" i="19"/>
  <c r="I64" i="19"/>
  <c r="I56" i="19"/>
  <c r="I48" i="19"/>
  <c r="I40" i="19"/>
  <c r="I32" i="19"/>
  <c r="I24" i="19"/>
  <c r="I77" i="19"/>
  <c r="I69" i="19"/>
  <c r="I61" i="19"/>
  <c r="I53" i="19"/>
  <c r="I45" i="19"/>
  <c r="I37" i="19"/>
  <c r="I29" i="19"/>
  <c r="I21" i="19"/>
  <c r="H64" i="19"/>
  <c r="H48" i="19"/>
  <c r="H32" i="19"/>
  <c r="H77" i="19"/>
  <c r="H61" i="19"/>
  <c r="H45" i="19"/>
  <c r="H29" i="19"/>
  <c r="H74" i="19"/>
  <c r="H58" i="19"/>
  <c r="H42" i="19"/>
  <c r="H26" i="19"/>
  <c r="H71" i="19"/>
  <c r="H55" i="19"/>
  <c r="H39" i="19"/>
  <c r="H23" i="19"/>
  <c r="C74" i="19"/>
  <c r="C66" i="19"/>
  <c r="C58" i="19"/>
  <c r="C50" i="19"/>
  <c r="C42" i="19"/>
  <c r="C34" i="19"/>
  <c r="C26" i="19"/>
  <c r="C79" i="19"/>
  <c r="C71" i="19"/>
  <c r="C63" i="19"/>
  <c r="C55" i="19"/>
  <c r="C47" i="19"/>
  <c r="C39" i="19"/>
  <c r="C31" i="19"/>
  <c r="C23" i="19"/>
  <c r="E48" i="20"/>
  <c r="E56" i="20"/>
  <c r="E64" i="20"/>
  <c r="E72" i="20"/>
  <c r="E21" i="20"/>
  <c r="E29" i="20"/>
  <c r="E37" i="20"/>
  <c r="E45" i="20"/>
  <c r="E53" i="20"/>
  <c r="E61" i="20"/>
  <c r="E69" i="20"/>
  <c r="I78" i="19"/>
  <c r="I70" i="19"/>
  <c r="I62" i="19"/>
  <c r="I54" i="19"/>
  <c r="I46" i="19"/>
  <c r="I38" i="19"/>
  <c r="I30" i="19"/>
  <c r="I22" i="19"/>
  <c r="I75" i="19"/>
  <c r="I67" i="19"/>
  <c r="I59" i="19"/>
  <c r="I51" i="19"/>
  <c r="I43" i="19"/>
  <c r="I35" i="19"/>
  <c r="I27" i="19"/>
  <c r="H76" i="19"/>
  <c r="H60" i="19"/>
  <c r="H44" i="19"/>
  <c r="H28" i="19"/>
  <c r="H73" i="19"/>
  <c r="H57" i="19"/>
  <c r="H41" i="19"/>
  <c r="H25" i="19"/>
  <c r="H70" i="19"/>
  <c r="H54" i="19"/>
  <c r="H38" i="19"/>
  <c r="H22" i="19"/>
  <c r="H67" i="19"/>
  <c r="H51" i="19"/>
  <c r="D15" i="19"/>
  <c r="C72" i="19"/>
  <c r="C64" i="19"/>
  <c r="C56" i="19"/>
  <c r="C48" i="19"/>
  <c r="C40" i="19"/>
  <c r="C32" i="19"/>
  <c r="C24" i="19"/>
  <c r="C77" i="19"/>
  <c r="C69" i="19"/>
  <c r="C61" i="19"/>
  <c r="C53" i="19"/>
  <c r="C45" i="19"/>
  <c r="C37" i="19"/>
  <c r="C29" i="19"/>
  <c r="C21" i="19"/>
  <c r="C76" i="19"/>
  <c r="C68" i="19"/>
  <c r="C60" i="19"/>
  <c r="C52" i="19"/>
  <c r="C44" i="19"/>
  <c r="C36" i="19"/>
  <c r="C28" i="19"/>
  <c r="C20" i="19"/>
  <c r="C73" i="19"/>
  <c r="C65" i="19"/>
  <c r="C57" i="19"/>
  <c r="C49" i="19"/>
  <c r="C41" i="19"/>
  <c r="C33" i="19"/>
  <c r="C25" i="19"/>
  <c r="F51" i="19" l="1"/>
  <c r="F33" i="19"/>
  <c r="F35" i="19"/>
  <c r="F69" i="19"/>
  <c r="B43" i="19"/>
  <c r="G43" i="19" s="1"/>
  <c r="B75" i="19"/>
  <c r="G75" i="19" s="1"/>
  <c r="F50" i="19"/>
  <c r="B54" i="19"/>
  <c r="G54" i="19" s="1"/>
  <c r="F27" i="19"/>
  <c r="F71" i="19"/>
  <c r="B45" i="19"/>
  <c r="G45" i="19" s="1"/>
  <c r="B77" i="19"/>
  <c r="G77" i="19" s="1"/>
  <c r="F60" i="19"/>
  <c r="B48" i="19"/>
  <c r="G48" i="19" s="1"/>
  <c r="F49" i="19"/>
  <c r="B39" i="19"/>
  <c r="G39" i="19" s="1"/>
  <c r="F30" i="19"/>
  <c r="B34" i="19"/>
  <c r="G34" i="19" s="1"/>
  <c r="F37" i="19"/>
  <c r="B56" i="19"/>
  <c r="G56" i="19" s="1"/>
  <c r="B47" i="19"/>
  <c r="G47" i="19" s="1"/>
  <c r="F54" i="19"/>
  <c r="B58" i="19"/>
  <c r="G58" i="19" s="1"/>
  <c r="D80" i="19"/>
  <c r="B68" i="19"/>
  <c r="G68" i="19" s="1"/>
  <c r="B28" i="19"/>
  <c r="G28" i="19" s="1"/>
  <c r="B44" i="19"/>
  <c r="G44" i="19" s="1"/>
  <c r="I31" i="19"/>
  <c r="H65" i="19"/>
  <c r="F25" i="19"/>
  <c r="F45" i="19"/>
  <c r="F77" i="19"/>
  <c r="B51" i="19"/>
  <c r="G51" i="19" s="1"/>
  <c r="F26" i="19"/>
  <c r="F58" i="19"/>
  <c r="B30" i="19"/>
  <c r="G30" i="19" s="1"/>
  <c r="B62" i="19"/>
  <c r="G62" i="19" s="1"/>
  <c r="F47" i="19"/>
  <c r="F79" i="19"/>
  <c r="B53" i="19"/>
  <c r="G53" i="19" s="1"/>
  <c r="F28" i="19"/>
  <c r="F76" i="19"/>
  <c r="B64" i="19"/>
  <c r="G64" i="19" s="1"/>
  <c r="F57" i="19"/>
  <c r="B55" i="19"/>
  <c r="G55" i="19" s="1"/>
  <c r="F38" i="19"/>
  <c r="B50" i="19"/>
  <c r="G50" i="19" s="1"/>
  <c r="F36" i="19"/>
  <c r="F39" i="19"/>
  <c r="B63" i="19"/>
  <c r="G63" i="19" s="1"/>
  <c r="F70" i="19"/>
  <c r="B74" i="19"/>
  <c r="G74" i="19" s="1"/>
  <c r="F32" i="19"/>
  <c r="F59" i="19"/>
  <c r="F48" i="19"/>
  <c r="F72" i="19"/>
  <c r="F43" i="19"/>
  <c r="F40" i="19"/>
  <c r="I34" i="19"/>
  <c r="F53" i="19"/>
  <c r="B27" i="19"/>
  <c r="G27" i="19" s="1"/>
  <c r="B59" i="19"/>
  <c r="G59" i="19" s="1"/>
  <c r="F34" i="19"/>
  <c r="F66" i="19"/>
  <c r="B38" i="19"/>
  <c r="G38" i="19" s="1"/>
  <c r="B70" i="19"/>
  <c r="G70" i="19" s="1"/>
  <c r="F55" i="19"/>
  <c r="B29" i="19"/>
  <c r="G29" i="19" s="1"/>
  <c r="B61" i="19"/>
  <c r="G61" i="19" s="1"/>
  <c r="F44" i="19"/>
  <c r="B24" i="19"/>
  <c r="G24" i="19" s="1"/>
  <c r="B72" i="19"/>
  <c r="G72" i="19" s="1"/>
  <c r="F65" i="19"/>
  <c r="B71" i="19"/>
  <c r="G71" i="19" s="1"/>
  <c r="F62" i="19"/>
  <c r="B66" i="19"/>
  <c r="G66" i="19" s="1"/>
  <c r="F68" i="19"/>
  <c r="F73" i="19"/>
  <c r="B26" i="19"/>
  <c r="G26" i="19" s="1"/>
  <c r="F75" i="19"/>
  <c r="F64" i="19"/>
  <c r="F23" i="19"/>
  <c r="B33" i="19"/>
  <c r="G33" i="19" s="1"/>
  <c r="B76" i="19"/>
  <c r="G76" i="19" s="1"/>
  <c r="F24" i="19"/>
  <c r="F31" i="19"/>
  <c r="F56" i="19"/>
  <c r="B60" i="19"/>
  <c r="G60" i="19" s="1"/>
  <c r="F67" i="19"/>
  <c r="B73" i="19"/>
  <c r="G73" i="19" s="1"/>
  <c r="H35" i="19"/>
  <c r="I63" i="19"/>
  <c r="I66" i="19"/>
  <c r="H36" i="19"/>
  <c r="H30" i="19"/>
  <c r="H27" i="19"/>
  <c r="I50" i="19"/>
  <c r="M27" i="19"/>
  <c r="M35" i="19"/>
  <c r="M43" i="19"/>
  <c r="M51" i="19"/>
  <c r="M59" i="19"/>
  <c r="M67" i="19"/>
  <c r="M75" i="19"/>
  <c r="M26" i="19"/>
  <c r="M34" i="19"/>
  <c r="M42" i="19"/>
  <c r="M52" i="19"/>
  <c r="M66" i="19"/>
  <c r="M78" i="19"/>
  <c r="M60" i="19"/>
  <c r="M20" i="19"/>
  <c r="M21" i="19"/>
  <c r="M29" i="19"/>
  <c r="M37" i="19"/>
  <c r="M45" i="19"/>
  <c r="M53" i="19"/>
  <c r="M61" i="19"/>
  <c r="M69" i="19"/>
  <c r="M77" i="19"/>
  <c r="M28" i="19"/>
  <c r="M36" i="19"/>
  <c r="M44" i="19"/>
  <c r="M54" i="19"/>
  <c r="M68" i="19"/>
  <c r="M24" i="19"/>
  <c r="M64" i="19"/>
  <c r="M23" i="19"/>
  <c r="M31" i="19"/>
  <c r="M39" i="19"/>
  <c r="M47" i="19"/>
  <c r="M55" i="19"/>
  <c r="M63" i="19"/>
  <c r="M71" i="19"/>
  <c r="M79" i="19"/>
  <c r="M30" i="19"/>
  <c r="M38" i="19"/>
  <c r="M48" i="19"/>
  <c r="M58" i="19"/>
  <c r="M72" i="19"/>
  <c r="M46" i="19"/>
  <c r="M70" i="19"/>
  <c r="N83" i="19"/>
  <c r="M25" i="19"/>
  <c r="M33" i="19"/>
  <c r="M41" i="19"/>
  <c r="M49" i="19"/>
  <c r="M57" i="19"/>
  <c r="M65" i="19"/>
  <c r="M73" i="19"/>
  <c r="M22" i="19"/>
  <c r="M32" i="19"/>
  <c r="M40" i="19"/>
  <c r="M50" i="19"/>
  <c r="M62" i="19"/>
  <c r="M76" i="19"/>
  <c r="M56" i="19"/>
  <c r="M74" i="19"/>
  <c r="E78" i="20"/>
  <c r="C80" i="19"/>
  <c r="M80" i="19" l="1"/>
  <c r="O20" i="19"/>
  <c r="P20" i="19" l="1"/>
  <c r="L21" i="19" s="1"/>
  <c r="N21" i="19" l="1"/>
  <c r="O21" i="19" l="1"/>
  <c r="P21" i="19" l="1"/>
  <c r="L22" i="19" s="1"/>
  <c r="N22" i="19" l="1"/>
  <c r="O22" i="19" l="1"/>
  <c r="P22" i="19" l="1"/>
  <c r="L23" i="19" s="1"/>
  <c r="N23" i="19" l="1"/>
  <c r="O23" i="19" l="1"/>
  <c r="P23" i="19" l="1"/>
  <c r="L24" i="19" s="1"/>
  <c r="N24" i="19" l="1"/>
  <c r="O24" i="19" l="1"/>
  <c r="P24" i="19" l="1"/>
  <c r="L25" i="19" s="1"/>
  <c r="N25" i="19" l="1"/>
  <c r="O25" i="19" l="1"/>
  <c r="P25" i="19" s="1"/>
  <c r="L26" i="19" s="1"/>
  <c r="N26" i="19" l="1"/>
  <c r="O26" i="19" s="1"/>
  <c r="P26" i="19" s="1"/>
  <c r="L27" i="19" s="1"/>
  <c r="N27" i="19" l="1"/>
  <c r="O27" i="19" s="1"/>
  <c r="P27" i="19" s="1"/>
  <c r="L28" i="19" s="1"/>
  <c r="N28" i="19" l="1"/>
  <c r="O28" i="19" s="1"/>
  <c r="P28" i="19" s="1"/>
  <c r="L29" i="19" s="1"/>
  <c r="N29" i="19" l="1"/>
  <c r="O29" i="19" s="1"/>
  <c r="P29" i="19" s="1"/>
  <c r="L30" i="19" s="1"/>
  <c r="N30" i="19" l="1"/>
  <c r="O30" i="19" s="1"/>
  <c r="P30" i="19" s="1"/>
  <c r="L31" i="19" s="1"/>
  <c r="N31" i="19" l="1"/>
  <c r="O31" i="19" s="1"/>
  <c r="P31" i="19" s="1"/>
  <c r="L32" i="19" s="1"/>
  <c r="N32" i="19" l="1"/>
  <c r="O32" i="19" s="1"/>
  <c r="P32" i="19" s="1"/>
  <c r="L33" i="19" s="1"/>
  <c r="N33" i="19" l="1"/>
  <c r="O33" i="19" s="1"/>
  <c r="P33" i="19" s="1"/>
  <c r="L34" i="19" s="1"/>
  <c r="N34" i="19" l="1"/>
  <c r="O34" i="19" s="1"/>
  <c r="P34" i="19" s="1"/>
  <c r="L35" i="19" s="1"/>
  <c r="N35" i="19" l="1"/>
  <c r="O35" i="19" s="1"/>
  <c r="P35" i="19" s="1"/>
  <c r="L36" i="19" s="1"/>
  <c r="N36" i="19" l="1"/>
  <c r="O36" i="19" s="1"/>
  <c r="P36" i="19" s="1"/>
  <c r="L37" i="19" s="1"/>
  <c r="N37" i="19" l="1"/>
  <c r="O37" i="19" s="1"/>
  <c r="P37" i="19" s="1"/>
  <c r="L38" i="19" s="1"/>
  <c r="N38" i="19" l="1"/>
  <c r="O38" i="19" s="1"/>
  <c r="P38" i="19" s="1"/>
  <c r="L39" i="19" s="1"/>
  <c r="N39" i="19" l="1"/>
  <c r="O39" i="19" s="1"/>
  <c r="P39" i="19" s="1"/>
  <c r="L40" i="19" s="1"/>
  <c r="N40" i="19" l="1"/>
  <c r="O40" i="19" s="1"/>
  <c r="P40" i="19" s="1"/>
  <c r="L41" i="19" s="1"/>
  <c r="N41" i="19" l="1"/>
  <c r="O41" i="19" s="1"/>
  <c r="P41" i="19" s="1"/>
  <c r="L42" i="19" s="1"/>
  <c r="N42" i="19" l="1"/>
  <c r="O42" i="19" s="1"/>
  <c r="P42" i="19" s="1"/>
  <c r="L43" i="19" s="1"/>
  <c r="N43" i="19" l="1"/>
  <c r="O43" i="19" s="1"/>
  <c r="P43" i="19" s="1"/>
  <c r="L44" i="19" s="1"/>
  <c r="N44" i="19" l="1"/>
  <c r="O44" i="19" s="1"/>
  <c r="P44" i="19" s="1"/>
  <c r="L45" i="19" s="1"/>
  <c r="N45" i="19" l="1"/>
  <c r="O45" i="19" s="1"/>
  <c r="P45" i="19" s="1"/>
  <c r="L46" i="19" s="1"/>
  <c r="N46" i="19" l="1"/>
  <c r="O46" i="19" s="1"/>
  <c r="P46" i="19" s="1"/>
  <c r="L47" i="19" s="1"/>
  <c r="N47" i="19" l="1"/>
  <c r="O47" i="19" s="1"/>
  <c r="P47" i="19" s="1"/>
  <c r="L48" i="19" s="1"/>
  <c r="N48" i="19" l="1"/>
  <c r="O48" i="19" s="1"/>
  <c r="P48" i="19" s="1"/>
  <c r="L49" i="19" s="1"/>
  <c r="N49" i="19" l="1"/>
  <c r="O49" i="19" s="1"/>
  <c r="P49" i="19" s="1"/>
  <c r="L50" i="19" s="1"/>
  <c r="N50" i="19" l="1"/>
  <c r="O50" i="19" s="1"/>
  <c r="P50" i="19" s="1"/>
  <c r="L51" i="19" s="1"/>
  <c r="N51" i="19" l="1"/>
  <c r="O51" i="19" s="1"/>
  <c r="P51" i="19" s="1"/>
  <c r="L52" i="19" s="1"/>
  <c r="N52" i="19" l="1"/>
  <c r="O52" i="19" s="1"/>
  <c r="P52" i="19" s="1"/>
  <c r="L53" i="19" s="1"/>
  <c r="N53" i="19" l="1"/>
  <c r="O53" i="19" s="1"/>
  <c r="P53" i="19" s="1"/>
  <c r="L54" i="19" s="1"/>
  <c r="N54" i="19" l="1"/>
  <c r="O54" i="19" s="1"/>
  <c r="P54" i="19" s="1"/>
  <c r="L55" i="19" s="1"/>
  <c r="N55" i="19" l="1"/>
  <c r="O55" i="19" s="1"/>
  <c r="P55" i="19" s="1"/>
  <c r="L56" i="19" s="1"/>
  <c r="N56" i="19" l="1"/>
  <c r="O56" i="19" s="1"/>
  <c r="P56" i="19" s="1"/>
  <c r="L57" i="19" s="1"/>
  <c r="N57" i="19" l="1"/>
  <c r="O57" i="19" s="1"/>
  <c r="P57" i="19" s="1"/>
  <c r="L58" i="19" s="1"/>
  <c r="N58" i="19" l="1"/>
  <c r="O58" i="19" s="1"/>
  <c r="P58" i="19" s="1"/>
  <c r="L59" i="19" s="1"/>
  <c r="N59" i="19" l="1"/>
  <c r="O59" i="19" s="1"/>
  <c r="P59" i="19" s="1"/>
  <c r="L60" i="19" s="1"/>
  <c r="N60" i="19" l="1"/>
  <c r="O60" i="19" s="1"/>
  <c r="P60" i="19" s="1"/>
  <c r="L61" i="19" s="1"/>
  <c r="N61" i="19" l="1"/>
  <c r="O61" i="19" s="1"/>
  <c r="P61" i="19" s="1"/>
  <c r="L62" i="19" s="1"/>
  <c r="N62" i="19" l="1"/>
  <c r="O62" i="19" s="1"/>
  <c r="P62" i="19" s="1"/>
  <c r="L63" i="19" s="1"/>
  <c r="N63" i="19" l="1"/>
  <c r="O63" i="19" s="1"/>
  <c r="P63" i="19" s="1"/>
  <c r="L64" i="19" s="1"/>
  <c r="N64" i="19" l="1"/>
  <c r="O64" i="19" s="1"/>
  <c r="P64" i="19" s="1"/>
  <c r="L65" i="19" s="1"/>
  <c r="N65" i="19" l="1"/>
  <c r="O65" i="19" s="1"/>
  <c r="P65" i="19" s="1"/>
  <c r="L66" i="19" s="1"/>
  <c r="N66" i="19" l="1"/>
  <c r="O66" i="19" s="1"/>
  <c r="P66" i="19" s="1"/>
  <c r="L67" i="19" s="1"/>
  <c r="N67" i="19" l="1"/>
  <c r="O67" i="19" s="1"/>
  <c r="P67" i="19" s="1"/>
  <c r="L68" i="19" s="1"/>
  <c r="N68" i="19" l="1"/>
  <c r="O68" i="19" s="1"/>
  <c r="P68" i="19" s="1"/>
  <c r="L69" i="19" s="1"/>
  <c r="N69" i="19" l="1"/>
  <c r="O69" i="19" s="1"/>
  <c r="P69" i="19" s="1"/>
  <c r="L70" i="19" s="1"/>
  <c r="N70" i="19" l="1"/>
  <c r="O70" i="19" s="1"/>
  <c r="P70" i="19" s="1"/>
  <c r="L71" i="19" s="1"/>
  <c r="N71" i="19" l="1"/>
  <c r="O71" i="19" s="1"/>
  <c r="P71" i="19" s="1"/>
  <c r="L72" i="19" s="1"/>
  <c r="N72" i="19" l="1"/>
  <c r="O72" i="19" s="1"/>
  <c r="P72" i="19" s="1"/>
  <c r="L73" i="19" s="1"/>
  <c r="N73" i="19" l="1"/>
  <c r="O73" i="19" s="1"/>
  <c r="P73" i="19" s="1"/>
  <c r="L74" i="19" s="1"/>
  <c r="N74" i="19" l="1"/>
  <c r="O74" i="19" s="1"/>
  <c r="P74" i="19" s="1"/>
  <c r="L75" i="19" s="1"/>
  <c r="N75" i="19" l="1"/>
  <c r="O75" i="19" s="1"/>
  <c r="P75" i="19" s="1"/>
  <c r="L76" i="19" s="1"/>
  <c r="N76" i="19" l="1"/>
  <c r="O76" i="19" s="1"/>
  <c r="P76" i="19" s="1"/>
  <c r="L77" i="19" s="1"/>
  <c r="N77" i="19" l="1"/>
  <c r="O77" i="19" s="1"/>
  <c r="P77" i="19" s="1"/>
  <c r="L78" i="19" s="1"/>
  <c r="N78" i="19" l="1"/>
  <c r="O78" i="19" s="1"/>
  <c r="P78" i="19" s="1"/>
  <c r="L79" i="19" s="1"/>
  <c r="N79" i="19" l="1"/>
  <c r="O79" i="19" l="1"/>
  <c r="N80" i="19"/>
  <c r="N84" i="19" s="1"/>
  <c r="N85" i="19" s="1"/>
  <c r="O80" i="19" l="1"/>
  <c r="P79" i="19"/>
  <c r="N86" i="19" l="1"/>
  <c r="N88" i="19"/>
  <c r="N89" i="19" l="1"/>
</calcChain>
</file>

<file path=xl/comments1.xml><?xml version="1.0" encoding="utf-8"?>
<comments xmlns="http://schemas.openxmlformats.org/spreadsheetml/2006/main">
  <authors>
    <author>Michael</author>
  </authors>
  <commentList>
    <comment ref="N20" authorId="0" shapeId="0">
      <text>
        <r>
          <rPr>
            <b/>
            <sz val="9"/>
            <color indexed="81"/>
            <rFont val="Tahoma"/>
            <family val="2"/>
            <charset val="204"/>
          </rPr>
          <t>В первый период при тип=1 не происходит начисление %, т.к. заемщик фактически не пользовался этими деньгами</t>
        </r>
      </text>
    </comment>
  </commentList>
</comments>
</file>

<file path=xl/sharedStrings.xml><?xml version="1.0" encoding="utf-8"?>
<sst xmlns="http://schemas.openxmlformats.org/spreadsheetml/2006/main" count="101" uniqueCount="69">
  <si>
    <t>Названия строк</t>
  </si>
  <si>
    <t>Названия столбцов</t>
  </si>
  <si>
    <t>Значения</t>
  </si>
  <si>
    <t>Фильтр отчета</t>
  </si>
  <si>
    <t>type</t>
  </si>
  <si>
    <t>тип</t>
  </si>
  <si>
    <t>Future value</t>
  </si>
  <si>
    <t>fv</t>
  </si>
  <si>
    <t>бс</t>
  </si>
  <si>
    <t>Present value (Loan amount)</t>
  </si>
  <si>
    <t>pv</t>
  </si>
  <si>
    <t>пс</t>
  </si>
  <si>
    <t>Months</t>
  </si>
  <si>
    <t>nper</t>
  </si>
  <si>
    <t>кпер</t>
  </si>
  <si>
    <t>Число периодов</t>
  </si>
  <si>
    <t>Interest rate</t>
  </si>
  <si>
    <t>rate</t>
  </si>
  <si>
    <t>ставка</t>
  </si>
  <si>
    <t>% годовой</t>
  </si>
  <si>
    <t>% в месяц</t>
  </si>
  <si>
    <t>Тип выплаты</t>
  </si>
  <si>
    <t>Параметр</t>
  </si>
  <si>
    <t>Значение</t>
  </si>
  <si>
    <t>Аргумент в ПЛТ()</t>
  </si>
  <si>
    <t>Перевод</t>
  </si>
  <si>
    <t>Ежемесячный платеж (аннуитет)</t>
  </si>
  <si>
    <t>ПЛТ()</t>
  </si>
  <si>
    <t>Остаток в конце</t>
  </si>
  <si>
    <t>Период (№месяца)</t>
  </si>
  <si>
    <t>Тело кредита</t>
  </si>
  <si>
    <t>Итог</t>
  </si>
  <si>
    <t>Эквивалентная формула</t>
  </si>
  <si>
    <t>Таблица ежемесячных платежей (с использованием Финансовых функций EXCEL)</t>
  </si>
  <si>
    <t>Таблица ежемесячных платежей (без использования финансовых функций EXCEL)</t>
  </si>
  <si>
    <t>% за период</t>
  </si>
  <si>
    <t>0- в конце, 1 - в начале периода</t>
  </si>
  <si>
    <t>Число платежей в год</t>
  </si>
  <si>
    <t>Срок кредита, лет</t>
  </si>
  <si>
    <t>Размер ссуды</t>
  </si>
  <si>
    <t>Погашение ссуды по аннуитетной схеме</t>
  </si>
  <si>
    <t>Всего погашено тело кредита</t>
  </si>
  <si>
    <t>График платежей без использования формул аннуитета</t>
  </si>
  <si>
    <t>№</t>
  </si>
  <si>
    <t>Регулярный платеж</t>
  </si>
  <si>
    <t>Процент к уплате</t>
  </si>
  <si>
    <t>Уплачено за период тело кредита</t>
  </si>
  <si>
    <t>Процент к уплате за период</t>
  </si>
  <si>
    <t>Тело кредита на начало периода</t>
  </si>
  <si>
    <t>Тело кредита на конец периода</t>
  </si>
  <si>
    <t>Тело кредита на начало периода2</t>
  </si>
  <si>
    <t>Тело кредита на конец периода2</t>
  </si>
  <si>
    <t>Для тип=0</t>
  </si>
  <si>
    <t>Вклад на начало следующего за последним периодом</t>
  </si>
  <si>
    <t>Всего уплачено взносов</t>
  </si>
  <si>
    <t>Всего уплачено %</t>
  </si>
  <si>
    <t>Всего уплачено тела кредита</t>
  </si>
  <si>
    <t>Тело кредита на конец последнего периода</t>
  </si>
  <si>
    <t>% начисляемый в начале периода, следующего за последним</t>
  </si>
  <si>
    <t>Для тип=1 и БС&lt;&gt;0</t>
  </si>
  <si>
    <t>Выплата кредита закончилась и банк как будто начислил % на остаток</t>
  </si>
  <si>
    <t>*В первый период при тип=1 не происходит начисление %, т.к. заемщик фактически не пользовался этими деньгами</t>
  </si>
  <si>
    <t>В расчетах предполагается, что БС=0 (полный возврат ссуды), ТИП=0 (выплата в конце периода)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</si>
  <si>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</si>
  <si>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</si>
  <si>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</si>
  <si>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</si>
  <si>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</si>
  <si>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Аннуитет. Расчет периодического платежа в MS EXCEL. Погашение ссуды (кредита, займа)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</si>
</sst>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&quot;р.&quot;;[Red]\-#,##0.00&quot;р.&quot;"/>
    <numFmt numFmtId="165" formatCode="_(&quot;$&quot;* #,##0.00_);_(&quot;$&quot;* \(#,##0.00\);_(&quot;$&quot;* &quot;-&quot;??_);_(@_)"/>
    <numFmt numFmtId="166" formatCode="0.0%"/>
    <numFmt numFmtId="167" formatCode="0.000%"/>
    <numFmt numFmtId="168" formatCode="#,##0.00_ ;[Red]\-#,##0.00\ "/>
    <numFmt numFmtId="169" formatCode="#,##0_ ;[Red]\-#,##0\ 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5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  <xf numFmtId="0" fontId="13" fillId="0" borderId="0"/>
    <xf numFmtId="0" fontId="14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1" fillId="0" borderId="0" xfId="0" applyFont="1"/>
    <xf numFmtId="0" fontId="2" fillId="0" borderId="0" xfId="1"/>
    <xf numFmtId="0" fontId="0" fillId="0" borderId="0" xfId="0" applyNumberFormat="1"/>
    <xf numFmtId="164" fontId="0" fillId="0" borderId="0" xfId="0" applyNumberFormat="1"/>
    <xf numFmtId="0" fontId="0" fillId="0" borderId="12" xfId="0" applyBorder="1"/>
    <xf numFmtId="166" fontId="7" fillId="0" borderId="12" xfId="5" applyNumberFormat="1" applyFont="1" applyBorder="1"/>
    <xf numFmtId="167" fontId="0" fillId="0" borderId="0" xfId="5" applyNumberFormat="1" applyFont="1"/>
    <xf numFmtId="0" fontId="7" fillId="0" borderId="12" xfId="0" applyFont="1" applyBorder="1"/>
    <xf numFmtId="0" fontId="1" fillId="0" borderId="12" xfId="0" applyFont="1" applyBorder="1"/>
    <xf numFmtId="0" fontId="0" fillId="0" borderId="0" xfId="0" applyBorder="1"/>
    <xf numFmtId="164" fontId="0" fillId="0" borderId="12" xfId="0" applyNumberFormat="1" applyBorder="1"/>
    <xf numFmtId="0" fontId="1" fillId="0" borderId="12" xfId="0" applyFont="1" applyFill="1" applyBorder="1"/>
    <xf numFmtId="164" fontId="0" fillId="0" borderId="0" xfId="0" applyNumberFormat="1" applyBorder="1"/>
    <xf numFmtId="4" fontId="7" fillId="0" borderId="12" xfId="0" applyNumberFormat="1" applyFont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8" fillId="0" borderId="12" xfId="0" applyFont="1" applyBorder="1"/>
    <xf numFmtId="10" fontId="8" fillId="0" borderId="12" xfId="5" applyNumberFormat="1" applyFont="1" applyBorder="1"/>
    <xf numFmtId="166" fontId="8" fillId="0" borderId="12" xfId="5" applyNumberFormat="1" applyFont="1" applyBorder="1"/>
    <xf numFmtId="1" fontId="7" fillId="0" borderId="12" xfId="5" applyNumberFormat="1" applyFont="1" applyBorder="1"/>
    <xf numFmtId="3" fontId="7" fillId="0" borderId="12" xfId="0" applyNumberFormat="1" applyFont="1" applyBorder="1"/>
    <xf numFmtId="164" fontId="9" fillId="0" borderId="0" xfId="0" applyNumberFormat="1" applyFont="1"/>
    <xf numFmtId="164" fontId="0" fillId="0" borderId="0" xfId="0" applyNumberFormat="1" applyAlignment="1">
      <alignment wrapText="1"/>
    </xf>
    <xf numFmtId="0" fontId="0" fillId="0" borderId="0" xfId="0" quotePrefix="1" applyAlignment="1"/>
    <xf numFmtId="4" fontId="0" fillId="0" borderId="0" xfId="0" applyNumberFormat="1"/>
    <xf numFmtId="0" fontId="0" fillId="0" borderId="0" xfId="0" applyFont="1" applyFill="1" applyBorder="1"/>
    <xf numFmtId="4" fontId="7" fillId="0" borderId="0" xfId="0" applyNumberFormat="1" applyFont="1" applyBorder="1"/>
    <xf numFmtId="168" fontId="1" fillId="0" borderId="12" xfId="0" applyNumberFormat="1" applyFont="1" applyBorder="1" applyAlignment="1">
      <alignment vertical="top"/>
    </xf>
    <xf numFmtId="168" fontId="1" fillId="0" borderId="12" xfId="0" applyNumberFormat="1" applyFont="1" applyBorder="1" applyAlignment="1">
      <alignment vertical="top" wrapText="1"/>
    </xf>
    <xf numFmtId="169" fontId="0" fillId="0" borderId="12" xfId="0" applyNumberFormat="1" applyBorder="1"/>
    <xf numFmtId="168" fontId="0" fillId="2" borderId="12" xfId="0" applyNumberFormat="1" applyFill="1" applyBorder="1"/>
    <xf numFmtId="168" fontId="0" fillId="0" borderId="12" xfId="0" applyNumberFormat="1" applyBorder="1"/>
    <xf numFmtId="0" fontId="0" fillId="3" borderId="0" xfId="0" applyFill="1" applyAlignment="1">
      <alignment horizontal="left" vertical="top" wrapText="1"/>
    </xf>
    <xf numFmtId="168" fontId="1" fillId="0" borderId="12" xfId="0" applyNumberFormat="1" applyFont="1" applyBorder="1"/>
    <xf numFmtId="168" fontId="0" fillId="0" borderId="0" xfId="0" applyNumberFormat="1" applyFill="1" applyBorder="1"/>
    <xf numFmtId="168" fontId="1" fillId="4" borderId="12" xfId="0" applyNumberFormat="1" applyFont="1" applyFill="1" applyBorder="1"/>
    <xf numFmtId="0" fontId="0" fillId="0" borderId="0" xfId="0" applyFont="1" applyAlignment="1">
      <alignment horizontal="left"/>
    </xf>
    <xf numFmtId="0" fontId="12" fillId="6" borderId="0" xfId="1" applyFont="1" applyFill="1" applyAlignment="1">
      <alignment vertical="center" wrapText="1"/>
    </xf>
    <xf numFmtId="0" fontId="11" fillId="5" borderId="0" xfId="8" applyFont="1" applyFill="1" applyAlignment="1" applyProtection="1">
      <alignment vertical="center"/>
    </xf>
    <xf numFmtId="0" fontId="15" fillId="7" borderId="0" xfId="0" applyFont="1" applyFill="1" applyAlignment="1"/>
    <xf numFmtId="0" fontId="16" fillId="7" borderId="0" xfId="0" applyFont="1" applyFill="1" applyAlignment="1">
      <alignment vertical="center"/>
    </xf>
    <xf numFmtId="0" fontId="5" fillId="7" borderId="0" xfId="4" applyFill="1" applyAlignment="1" applyProtection="1"/>
    <xf numFmtId="0" fontId="11" fillId="5" borderId="0" xfId="4" applyFont="1" applyFill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9">
    <cellStyle name="Currency_TapePivot" xfId="3"/>
    <cellStyle name="Normal_ALLOC1" xfId="6"/>
    <cellStyle name="Гиперссылка" xfId="4" builtinId="8"/>
    <cellStyle name="Гиперссылка 2" xfId="2"/>
    <cellStyle name="Гиперссылка 3" xfId="8"/>
    <cellStyle name="Обычный" xfId="0" builtinId="0"/>
    <cellStyle name="Обычный 2" xfId="1"/>
    <cellStyle name="Обычный 3" xfId="7"/>
    <cellStyle name="Процентный" xfId="5" builtinId="5"/>
  </cellStyles>
  <dxfs count="25">
    <dxf>
      <numFmt numFmtId="164" formatCode="#,##0.00&quot;р.&quot;;[Red]\-#,##0.00&quot;р.&quot;"/>
    </dxf>
    <dxf>
      <numFmt numFmtId="164" formatCode="#,##0.00&quot;р.&quot;;[Red]\-#,##0.00&quot;р.&quot;"/>
    </dxf>
    <dxf>
      <numFmt numFmtId="164" formatCode="#,##0.00&quot;р.&quot;;[Red]\-#,##0.00&quot;р.&quot;"/>
    </dxf>
    <dxf>
      <numFmt numFmtId="164" formatCode="#,##0.00&quot;р.&quot;;[Red]\-#,##0.00&quot;р.&quot;"/>
    </dxf>
    <dxf>
      <numFmt numFmtId="164" formatCode="#,##0.00&quot;р.&quot;;[Red]\-#,##0.00&quot;р.&quot;"/>
    </dxf>
    <dxf>
      <numFmt numFmtId="164" formatCode="#,##0.00&quot;р.&quot;;[Red]\-#,##0.00&quot;р.&quot;"/>
    </dxf>
    <dxf>
      <numFmt numFmtId="164" formatCode="#,##0.00&quot;р.&quot;;[Red]\-#,##0.00&quot;р.&quot;"/>
    </dxf>
    <dxf>
      <numFmt numFmtId="164" formatCode="#,##0.00&quot;р.&quot;;[Red]\-#,##0.00&quot;р.&quot;"/>
    </dxf>
    <dxf>
      <numFmt numFmtId="164" formatCode="#,##0.00&quot;р.&quot;;[Red]\-#,##0.00&quot;р.&quot;"/>
    </dxf>
    <dxf>
      <numFmt numFmtId="164" formatCode="#,##0.00&quot;р.&quot;;[Red]\-#,##0.00&quot;р.&quot;"/>
    </dxf>
    <dxf>
      <numFmt numFmtId="164" formatCode="#,##0.00&quot;р.&quot;;[Red]\-#,##0.00&quot;р.&quot;"/>
    </dxf>
    <dxf>
      <numFmt numFmtId="0" formatCode="General"/>
    </dxf>
    <dxf>
      <alignment horizontal="left" vertical="top" textRotation="0" indent="0" justifyLastLine="0" shrinkToFit="0" readingOrder="0"/>
    </dxf>
    <dxf>
      <numFmt numFmtId="164" formatCode="#,##0.00&quot;р.&quot;;[Red]\-#,##0.00&quot;р.&quot;"/>
    </dxf>
    <dxf>
      <numFmt numFmtId="164" formatCode="#,##0.00&quot;р.&quot;;[Red]\-#,##0.00&quot;р.&quot;"/>
      <alignment horizontal="general" vertical="bottom" textRotation="0" wrapText="1" relativeIndent="0" justifyLastLine="0" shrinkToFit="0" readingOrder="0"/>
    </dxf>
    <dxf>
      <numFmt numFmtId="164" formatCode="#,##0.00&quot;р.&quot;;[Red]\-#,##0.00&quot;р.&quot;"/>
    </dxf>
    <dxf>
      <numFmt numFmtId="164" formatCode="#,##0.00&quot;р.&quot;;[Red]\-#,##0.00&quot;р.&quot;"/>
    </dxf>
    <dxf>
      <numFmt numFmtId="164" formatCode="#,##0.00&quot;р.&quot;;[Red]\-#,##0.00&quot;р.&quot;"/>
    </dxf>
    <dxf>
      <numFmt numFmtId="164" formatCode="#,##0.00&quot;р.&quot;;[Red]\-#,##0.00&quot;р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#,##0.00&quot;р.&quot;;[Red]\-#,##0.00&quot;р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#,##0.00&quot;р.&quot;;[Red]\-#,##0.00&quot;р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#,##0.00&quot;р.&quot;;[Red]\-#,##0.00&quot;р.&quot;"/>
    </dxf>
    <dxf>
      <numFmt numFmtId="164" formatCode="#,##0.00&quot;р.&quot;;[Red]\-#,##0.00&quot;р.&quot;"/>
    </dxf>
    <dxf>
      <numFmt numFmtId="0" formatCode="General"/>
    </dxf>
    <dxf>
      <alignment horizontal="left" vertical="top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Соотношение доли платежа, идущего на погашение Тела кредита и доли на выплату Процентов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33148062374557"/>
          <c:y val="0.32453984132027364"/>
          <c:w val="0.8445635245820502"/>
          <c:h val="0.512564612393963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'Аннуитет (ПЛТ)'!$D$19</c:f>
              <c:strCache>
                <c:ptCount val="1"/>
                <c:pt idx="0">
                  <c:v>Тело кредита</c:v>
                </c:pt>
              </c:strCache>
            </c:strRef>
          </c:tx>
          <c:invertIfNegative val="0"/>
          <c:val>
            <c:numRef>
              <c:f>'Аннуитет (ПЛТ)'!$D$20:$D$79</c:f>
              <c:numCache>
                <c:formatCode>#\ ##0.00"р.";[Red]\-#\ ##0.00"р."</c:formatCode>
                <c:ptCount val="60"/>
                <c:pt idx="0">
                  <c:v>-1224.4447684901775</c:v>
                </c:pt>
                <c:pt idx="1">
                  <c:v>-1236.6892161750791</c:v>
                </c:pt>
                <c:pt idx="2">
                  <c:v>-1249.0561083368298</c:v>
                </c:pt>
                <c:pt idx="3">
                  <c:v>-1261.5466694201984</c:v>
                </c:pt>
                <c:pt idx="4">
                  <c:v>-1274.1621361144</c:v>
                </c:pt>
                <c:pt idx="5">
                  <c:v>-1286.9037574755441</c:v>
                </c:pt>
                <c:pt idx="6">
                  <c:v>-1299.7727950502997</c:v>
                </c:pt>
                <c:pt idx="7">
                  <c:v>-1312.7705230008028</c:v>
                </c:pt>
                <c:pt idx="8">
                  <c:v>-1325.8982282308109</c:v>
                </c:pt>
                <c:pt idx="9">
                  <c:v>-1339.1572105131188</c:v>
                </c:pt>
                <c:pt idx="10">
                  <c:v>-1352.5487826182498</c:v>
                </c:pt>
                <c:pt idx="11">
                  <c:v>-1366.0742704444324</c:v>
                </c:pt>
                <c:pt idx="12">
                  <c:v>-1379.735013148877</c:v>
                </c:pt>
                <c:pt idx="13">
                  <c:v>-1393.5323632803656</c:v>
                </c:pt>
                <c:pt idx="14">
                  <c:v>-1407.4676869131692</c:v>
                </c:pt>
                <c:pt idx="15">
                  <c:v>-1421.542363782301</c:v>
                </c:pt>
                <c:pt idx="16">
                  <c:v>-1435.757787420124</c:v>
                </c:pt>
                <c:pt idx="17">
                  <c:v>-1450.1153652943251</c:v>
                </c:pt>
                <c:pt idx="18">
                  <c:v>-1464.6165189472686</c:v>
                </c:pt>
                <c:pt idx="19">
                  <c:v>-1479.2626841367412</c:v>
                </c:pt>
                <c:pt idx="20">
                  <c:v>-1494.0553109781085</c:v>
                </c:pt>
                <c:pt idx="21">
                  <c:v>-1508.9958640878899</c:v>
                </c:pt>
                <c:pt idx="22">
                  <c:v>-1524.0858227287688</c:v>
                </c:pt>
                <c:pt idx="23">
                  <c:v>-1539.3266809560562</c:v>
                </c:pt>
                <c:pt idx="24">
                  <c:v>-1554.7199477656168</c:v>
                </c:pt>
                <c:pt idx="25">
                  <c:v>-1570.267147243273</c:v>
                </c:pt>
                <c:pt idx="26">
                  <c:v>-1585.9698187157057</c:v>
                </c:pt>
                <c:pt idx="27">
                  <c:v>-1601.8295169028629</c:v>
                </c:pt>
                <c:pt idx="28">
                  <c:v>-1617.8478120718914</c:v>
                </c:pt>
                <c:pt idx="29">
                  <c:v>-1634.0262901926103</c:v>
                </c:pt>
                <c:pt idx="30">
                  <c:v>-1650.3665530945364</c:v>
                </c:pt>
                <c:pt idx="31">
                  <c:v>-1666.8702186254816</c:v>
                </c:pt>
                <c:pt idx="32">
                  <c:v>-1683.5389208117363</c:v>
                </c:pt>
                <c:pt idx="33">
                  <c:v>-1700.3743100198542</c:v>
                </c:pt>
                <c:pt idx="34">
                  <c:v>-1717.3780531200525</c:v>
                </c:pt>
                <c:pt idx="35">
                  <c:v>-1734.551833651253</c:v>
                </c:pt>
                <c:pt idx="36">
                  <c:v>-1751.8973519877657</c:v>
                </c:pt>
                <c:pt idx="37">
                  <c:v>-1769.416325507643</c:v>
                </c:pt>
                <c:pt idx="38">
                  <c:v>-1787.1104887627196</c:v>
                </c:pt>
                <c:pt idx="39">
                  <c:v>-1804.9815936503469</c:v>
                </c:pt>
                <c:pt idx="40">
                  <c:v>-1823.0314095868503</c:v>
                </c:pt>
                <c:pt idx="41">
                  <c:v>-1841.2617236827186</c:v>
                </c:pt>
                <c:pt idx="42">
                  <c:v>-1859.674340919546</c:v>
                </c:pt>
                <c:pt idx="43">
                  <c:v>-1878.2710843287414</c:v>
                </c:pt>
                <c:pt idx="44">
                  <c:v>-1897.0537951720291</c:v>
                </c:pt>
                <c:pt idx="45">
                  <c:v>-1916.0243331237493</c:v>
                </c:pt>
                <c:pt idx="46">
                  <c:v>-1935.1845764549867</c:v>
                </c:pt>
                <c:pt idx="47">
                  <c:v>-1954.5364222195367</c:v>
                </c:pt>
                <c:pt idx="48">
                  <c:v>-1974.081786441732</c:v>
                </c:pt>
                <c:pt idx="49">
                  <c:v>-1993.8226043061493</c:v>
                </c:pt>
                <c:pt idx="50">
                  <c:v>-2013.7608303492107</c:v>
                </c:pt>
                <c:pt idx="51">
                  <c:v>-2033.8984386527029</c:v>
                </c:pt>
                <c:pt idx="52">
                  <c:v>-2054.2374230392297</c:v>
                </c:pt>
                <c:pt idx="53">
                  <c:v>-2074.7797972696221</c:v>
                </c:pt>
                <c:pt idx="54">
                  <c:v>-2095.5275952423185</c:v>
                </c:pt>
                <c:pt idx="55">
                  <c:v>-2116.4828711947416</c:v>
                </c:pt>
                <c:pt idx="56">
                  <c:v>-2137.6476999066895</c:v>
                </c:pt>
                <c:pt idx="57">
                  <c:v>-2159.0241769057561</c:v>
                </c:pt>
                <c:pt idx="58">
                  <c:v>-2180.6144186748134</c:v>
                </c:pt>
                <c:pt idx="59">
                  <c:v>-2202.4205628615614</c:v>
                </c:pt>
              </c:numCache>
            </c:numRef>
          </c:val>
        </c:ser>
        <c:ser>
          <c:idx val="1"/>
          <c:order val="1"/>
          <c:tx>
            <c:strRef>
              <c:f>'Аннуитет (ПЛТ)'!$E$19</c:f>
              <c:strCache>
                <c:ptCount val="1"/>
                <c:pt idx="0">
                  <c:v>Процент к уплате</c:v>
                </c:pt>
              </c:strCache>
            </c:strRef>
          </c:tx>
          <c:invertIfNegative val="0"/>
          <c:val>
            <c:numRef>
              <c:f>'Аннуитет (ПЛТ)'!$E$20:$E$79</c:f>
              <c:numCache>
                <c:formatCode>#\ ##0.00"р.";[Red]\-#\ ##0.00"р."</c:formatCode>
                <c:ptCount val="60"/>
                <c:pt idx="0">
                  <c:v>-1000</c:v>
                </c:pt>
                <c:pt idx="1">
                  <c:v>-987.75555231509816</c:v>
                </c:pt>
                <c:pt idx="2">
                  <c:v>-975.38866015334736</c:v>
                </c:pt>
                <c:pt idx="3">
                  <c:v>-962.89809906997914</c:v>
                </c:pt>
                <c:pt idx="4">
                  <c:v>-950.28263237577687</c:v>
                </c:pt>
                <c:pt idx="5">
                  <c:v>-937.54101101463311</c:v>
                </c:pt>
                <c:pt idx="6">
                  <c:v>-924.67197343987766</c:v>
                </c:pt>
                <c:pt idx="7">
                  <c:v>-911.67424548937458</c:v>
                </c:pt>
                <c:pt idx="8">
                  <c:v>-898.54654025936679</c:v>
                </c:pt>
                <c:pt idx="9">
                  <c:v>-885.28755797705867</c:v>
                </c:pt>
                <c:pt idx="10">
                  <c:v>-871.89598587192745</c:v>
                </c:pt>
                <c:pt idx="11">
                  <c:v>-858.37049804574497</c:v>
                </c:pt>
                <c:pt idx="12">
                  <c:v>-844.70975534130048</c:v>
                </c:pt>
                <c:pt idx="13">
                  <c:v>-830.91240520981171</c:v>
                </c:pt>
                <c:pt idx="14">
                  <c:v>-816.97708157700799</c:v>
                </c:pt>
                <c:pt idx="15">
                  <c:v>-802.90240470787626</c:v>
                </c:pt>
                <c:pt idx="16">
                  <c:v>-788.68698107005332</c:v>
                </c:pt>
                <c:pt idx="17">
                  <c:v>-774.32940319585214</c:v>
                </c:pt>
                <c:pt idx="18">
                  <c:v>-759.82824954290891</c:v>
                </c:pt>
                <c:pt idx="19">
                  <c:v>-745.18208435343627</c:v>
                </c:pt>
                <c:pt idx="20">
                  <c:v>-730.38945751206859</c:v>
                </c:pt>
                <c:pt idx="21">
                  <c:v>-715.44890440228778</c:v>
                </c:pt>
                <c:pt idx="22">
                  <c:v>-700.35894576140868</c:v>
                </c:pt>
                <c:pt idx="23">
                  <c:v>-685.11808753412117</c:v>
                </c:pt>
                <c:pt idx="24">
                  <c:v>-669.72482072456046</c:v>
                </c:pt>
                <c:pt idx="25">
                  <c:v>-654.17762124690421</c:v>
                </c:pt>
                <c:pt idx="26">
                  <c:v>-638.47494977447172</c:v>
                </c:pt>
                <c:pt idx="27">
                  <c:v>-622.61525158731456</c:v>
                </c:pt>
                <c:pt idx="28">
                  <c:v>-606.59695641828591</c:v>
                </c:pt>
                <c:pt idx="29">
                  <c:v>-590.41847829756705</c:v>
                </c:pt>
                <c:pt idx="30">
                  <c:v>-574.07821539564077</c:v>
                </c:pt>
                <c:pt idx="31">
                  <c:v>-557.57454986469554</c:v>
                </c:pt>
                <c:pt idx="32">
                  <c:v>-540.90584767844075</c:v>
                </c:pt>
                <c:pt idx="33">
                  <c:v>-524.07045847032327</c:v>
                </c:pt>
                <c:pt idx="34">
                  <c:v>-507.06671537012488</c:v>
                </c:pt>
                <c:pt idx="35">
                  <c:v>-489.89293483892425</c:v>
                </c:pt>
                <c:pt idx="36">
                  <c:v>-472.54741650241164</c:v>
                </c:pt>
                <c:pt idx="37">
                  <c:v>-455.02844298253405</c:v>
                </c:pt>
                <c:pt idx="38">
                  <c:v>-437.33427972745767</c:v>
                </c:pt>
                <c:pt idx="39">
                  <c:v>-419.4631748398304</c:v>
                </c:pt>
                <c:pt idx="40">
                  <c:v>-401.41335890332698</c:v>
                </c:pt>
                <c:pt idx="41">
                  <c:v>-383.18304480745843</c:v>
                </c:pt>
                <c:pt idx="42">
                  <c:v>-364.77042757063123</c:v>
                </c:pt>
                <c:pt idx="43">
                  <c:v>-346.1736841614358</c:v>
                </c:pt>
                <c:pt idx="44">
                  <c:v>-327.39097331814838</c:v>
                </c:pt>
                <c:pt idx="45">
                  <c:v>-308.42043536642802</c:v>
                </c:pt>
                <c:pt idx="46">
                  <c:v>-289.26019203519058</c:v>
                </c:pt>
                <c:pt idx="47">
                  <c:v>-269.90834627064072</c:v>
                </c:pt>
                <c:pt idx="48">
                  <c:v>-250.36298204844533</c:v>
                </c:pt>
                <c:pt idx="49">
                  <c:v>-230.62216418402801</c:v>
                </c:pt>
                <c:pt idx="50">
                  <c:v>-210.68393814096649</c:v>
                </c:pt>
                <c:pt idx="51">
                  <c:v>-190.54632983747442</c:v>
                </c:pt>
                <c:pt idx="52">
                  <c:v>-170.20734545094737</c:v>
                </c:pt>
                <c:pt idx="53">
                  <c:v>-149.66497122055503</c:v>
                </c:pt>
                <c:pt idx="54">
                  <c:v>-128.91717324785881</c:v>
                </c:pt>
                <c:pt idx="55">
                  <c:v>-107.96189729543563</c:v>
                </c:pt>
                <c:pt idx="56">
                  <c:v>-86.797068583488198</c:v>
                </c:pt>
                <c:pt idx="57">
                  <c:v>-65.420591584421317</c:v>
                </c:pt>
                <c:pt idx="58">
                  <c:v>-43.830349815363761</c:v>
                </c:pt>
                <c:pt idx="59">
                  <c:v>-22.024205628615618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39588440"/>
        <c:axId val="139725832"/>
      </c:barChart>
      <c:catAx>
        <c:axId val="139588440"/>
        <c:scaling>
          <c:orientation val="minMax"/>
        </c:scaling>
        <c:delete val="0"/>
        <c:axPos val="b"/>
        <c:majorTickMark val="out"/>
        <c:minorTickMark val="none"/>
        <c:tickLblPos val="high"/>
        <c:crossAx val="139725832"/>
        <c:crossesAt val="0"/>
        <c:auto val="1"/>
        <c:lblAlgn val="ctr"/>
        <c:lblOffset val="100"/>
        <c:noMultiLvlLbl val="0"/>
      </c:catAx>
      <c:valAx>
        <c:axId val="139725832"/>
        <c:scaling>
          <c:orientation val="minMax"/>
        </c:scaling>
        <c:delete val="0"/>
        <c:axPos val="l"/>
        <c:majorGridlines/>
        <c:numFmt formatCode="#\ ##0.00&quot;р.&quot;;[Red]\-#\ ##0.00&quot;р.&quot;" sourceLinked="1"/>
        <c:majorTickMark val="out"/>
        <c:minorTickMark val="none"/>
        <c:tickLblPos val="nextTo"/>
        <c:crossAx val="1395884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569818</xdr:colOff>
      <xdr:row>1</xdr:row>
      <xdr:rowOff>84606</xdr:rowOff>
    </xdr:from>
    <xdr:to>
      <xdr:col>15</xdr:col>
      <xdr:colOff>380999</xdr:colOff>
      <xdr:row>16</xdr:row>
      <xdr:rowOff>2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Табл1" displayName="Табл1" ref="A19:I80" totalsRowCount="1" headerRowDxfId="24">
  <autoFilter ref="A19:I79"/>
  <tableColumns count="9">
    <tableColumn id="1" name="Период (№месяца)" totalsRowLabel="Итог" dataDxfId="23">
      <calculatedColumnFormula>IF(ROW()-ROW(Табл1[[#Headers],[Период (№месяца)]])&gt;$B$11,0,ROW()-ROW(Табл1[[#Headers],[Период (№месяца)]]))</calculatedColumnFormula>
    </tableColumn>
    <tableColumn id="2" name="Тело кредита на начало периода" dataDxfId="22">
      <calculatedColumnFormula>$B$5+SUM($D$19:D19)</calculatedColumnFormula>
    </tableColumn>
    <tableColumn id="4" name="Регулярный платеж" totalsRowFunction="sum" totalsRowDxfId="21">
      <calculatedColumnFormula>PMT($B$10,$B$11,$B$5,$B$6,$B$12)</calculatedColumnFormula>
    </tableColumn>
    <tableColumn id="6" name="Тело кредита" totalsRowFunction="sum" totalsRowDxfId="20">
      <calculatedColumnFormula>PPMT($B$10,A20,$B$11,$B$5,$B$6,$B$12)</calculatedColumnFormula>
    </tableColumn>
    <tableColumn id="3" name="Процент к уплате" totalsRowFunction="sum" totalsRowDxfId="19">
      <calculatedColumnFormula>IPMT($B$10,A20,$B$11,$B$5,$B$6,$B$12)</calculatedColumnFormula>
    </tableColumn>
    <tableColumn id="8" name="Всего погашено тело кредита" dataDxfId="18" totalsRowDxfId="17">
      <calculatedColumnFormula>SUM($D$20:D20)</calculatedColumnFormula>
    </tableColumn>
    <tableColumn id="5" name="Тело кредита на конец периода" dataDxfId="16" totalsRowDxfId="15">
      <calculatedColumnFormula>Табл1[[#This Row],[Тело кредита на начало периода]]+Табл1[[#This Row],[Тело кредита]]</calculatedColumnFormula>
    </tableColumn>
    <tableColumn id="9" name="Тело кредита на начало периода2" dataDxfId="14">
      <calculatedColumnFormula>PV($B$10,$B$11-Табл1[[#This Row],[Период (№месяца)]]+1,$C$15,$B$6,$B$12)/IF(Табл1[[#This Row],[Период (№месяца)]]=1,1,1+$B$12*$B$10)</calculatedColumnFormula>
    </tableColumn>
    <tableColumn id="7" name="Тело кредита на конец периода2" dataDxfId="13">
      <calculatedColumnFormula>-FV($B$10,Табл1[[#This Row],[Период (№месяца)]],$C$15,$B$5,$B$12)/(1+$B$12*$B$10)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ТаблицаФ" displayName="ТаблицаФ" ref="A17:G78" totalsRowCount="1" headerRowDxfId="12">
  <autoFilter ref="A17:G77"/>
  <tableColumns count="7">
    <tableColumn id="1" name="Период (№месяца)" totalsRowLabel="Итог" dataDxfId="11">
      <calculatedColumnFormula>IF(ROW()-ROW(ТаблицаФ[[#Headers],[Период (№месяца)]])&gt;$B$8,0,ROW()-ROW(ТаблицаФ[[#Headers],[Период (№месяца)]]))</calculatedColumnFormula>
    </tableColumn>
    <tableColumn id="2" name="Тело кредита на начало периода" dataDxfId="10">
      <calculatedColumnFormula>$B$9+SUM($D$17:D17)</calculatedColumnFormula>
    </tableColumn>
    <tableColumn id="4" name="Регулярный платеж" totalsRowFunction="sum" dataDxfId="9" totalsRowDxfId="8">
      <calculatedColumnFormula>$C$13</calculatedColumnFormula>
    </tableColumn>
    <tableColumn id="6" name="Тело кредита" totalsRowFunction="sum" dataDxfId="7" totalsRowDxfId="6">
      <calculatedColumnFormula>$C$13/(1+$B$7)^($B$8-ТаблицаФ[[#This Row],[Период (№месяца)]]+1)</calculatedColumnFormula>
    </tableColumn>
    <tableColumn id="3" name="Процент к уплате" totalsRowFunction="sum" dataDxfId="5" totalsRowDxfId="4">
      <calculatedColumnFormula>$C$13*(1-1/(1+$B$7)^($B$8-ТаблицаФ[[#This Row],[Период (№месяца)]]+1))</calculatedColumnFormula>
    </tableColumn>
    <tableColumn id="8" name="Всего погашено тело кредита" dataDxfId="3" totalsRowDxfId="2">
      <calculatedColumnFormula>SUM($D$18:D18)</calculatedColumnFormula>
    </tableColumn>
    <tableColumn id="5" name="Тело кредита на конец периода" dataDxfId="1" totalsRowDxfId="0">
      <calculatedColumnFormula>ТаблицаФ[[#This Row],[Тело кредита на начало периода]]+ТаблицаФ[[#This Row],[Тело кредита]]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excel2.ru/articles/annuitet-raschet-periodicheskogo-platezha-v-ms-excel-pogashenie-ssudy-kredita-zayma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3:Q89"/>
  <sheetViews>
    <sheetView tabSelected="1" zoomScale="85" zoomScaleNormal="85" workbookViewId="0">
      <selection activeCell="B8" sqref="B8"/>
    </sheetView>
  </sheetViews>
  <sheetFormatPr defaultRowHeight="15" x14ac:dyDescent="0.25"/>
  <cols>
    <col min="1" max="1" width="21.140625" customWidth="1"/>
    <col min="2" max="2" width="17.85546875" customWidth="1"/>
    <col min="3" max="3" width="13.42578125" customWidth="1"/>
    <col min="4" max="4" width="14.5703125" customWidth="1"/>
    <col min="5" max="5" width="11.7109375" bestFit="1" customWidth="1"/>
    <col min="6" max="6" width="16.85546875" customWidth="1"/>
    <col min="7" max="7" width="19.140625" customWidth="1"/>
    <col min="8" max="8" width="15.5703125" customWidth="1"/>
    <col min="9" max="9" width="15.85546875" customWidth="1"/>
    <col min="10" max="10" width="11.7109375" bestFit="1" customWidth="1"/>
    <col min="11" max="11" width="9.85546875" bestFit="1" customWidth="1"/>
    <col min="12" max="12" width="13.7109375" customWidth="1"/>
    <col min="13" max="13" width="11.5703125" bestFit="1" customWidth="1"/>
    <col min="14" max="14" width="18.85546875" customWidth="1"/>
    <col min="15" max="15" width="14" customWidth="1"/>
    <col min="16" max="16" width="14.5703125" customWidth="1"/>
    <col min="270" max="270" width="10" customWidth="1"/>
    <col min="351" max="351" width="8.5703125" customWidth="1"/>
  </cols>
  <sheetData>
    <row r="3" spans="1:7" ht="18.75" x14ac:dyDescent="0.25">
      <c r="A3" s="41" t="s">
        <v>68</v>
      </c>
      <c r="B3" s="41"/>
      <c r="C3" s="41"/>
      <c r="D3" s="41"/>
      <c r="E3" s="41"/>
      <c r="F3" s="41"/>
      <c r="G3" s="41"/>
    </row>
    <row r="4" spans="1:7" x14ac:dyDescent="0.25">
      <c r="A4" s="9" t="s">
        <v>22</v>
      </c>
      <c r="B4" s="9" t="s">
        <v>23</v>
      </c>
      <c r="C4" s="9" t="s">
        <v>24</v>
      </c>
      <c r="D4" s="9"/>
      <c r="E4" s="9" t="s">
        <v>25</v>
      </c>
      <c r="F4" s="7"/>
      <c r="G4" t="s">
        <v>40</v>
      </c>
    </row>
    <row r="5" spans="1:7" x14ac:dyDescent="0.25">
      <c r="A5" s="5" t="s">
        <v>39</v>
      </c>
      <c r="B5" s="14">
        <v>100000</v>
      </c>
      <c r="C5" s="5" t="s">
        <v>11</v>
      </c>
      <c r="D5" s="5" t="s">
        <v>10</v>
      </c>
      <c r="E5" s="5" t="s">
        <v>9</v>
      </c>
      <c r="F5" s="7"/>
    </row>
    <row r="6" spans="1:7" x14ac:dyDescent="0.25">
      <c r="A6" s="5" t="s">
        <v>28</v>
      </c>
      <c r="B6" s="14">
        <v>0</v>
      </c>
      <c r="C6" s="5" t="s">
        <v>8</v>
      </c>
      <c r="D6" s="5" t="s">
        <v>7</v>
      </c>
      <c r="E6" s="5" t="s">
        <v>6</v>
      </c>
      <c r="F6" s="7"/>
    </row>
    <row r="7" spans="1:7" x14ac:dyDescent="0.25">
      <c r="A7" s="5" t="s">
        <v>38</v>
      </c>
      <c r="B7" s="21">
        <v>5</v>
      </c>
      <c r="C7" s="5"/>
      <c r="D7" s="5"/>
      <c r="E7" s="5"/>
      <c r="F7" s="7"/>
    </row>
    <row r="8" spans="1:7" x14ac:dyDescent="0.25">
      <c r="A8" s="5" t="s">
        <v>19</v>
      </c>
      <c r="B8" s="6">
        <v>0.12</v>
      </c>
      <c r="C8" s="5"/>
      <c r="D8" s="5"/>
      <c r="E8" s="5"/>
      <c r="F8" s="7"/>
    </row>
    <row r="9" spans="1:7" x14ac:dyDescent="0.25">
      <c r="A9" s="5" t="s">
        <v>37</v>
      </c>
      <c r="B9" s="20">
        <v>12</v>
      </c>
      <c r="C9" s="5"/>
      <c r="D9" s="5"/>
      <c r="E9" s="5"/>
      <c r="F9" s="7"/>
    </row>
    <row r="10" spans="1:7" x14ac:dyDescent="0.25">
      <c r="A10" s="5" t="s">
        <v>35</v>
      </c>
      <c r="B10" s="18">
        <f>B8/B9</f>
        <v>0.01</v>
      </c>
      <c r="C10" s="5" t="s">
        <v>18</v>
      </c>
      <c r="D10" s="5" t="s">
        <v>17</v>
      </c>
      <c r="E10" s="5" t="s">
        <v>16</v>
      </c>
      <c r="F10" s="7"/>
    </row>
    <row r="11" spans="1:7" x14ac:dyDescent="0.25">
      <c r="A11" s="5" t="s">
        <v>15</v>
      </c>
      <c r="B11" s="17">
        <f>B7*B9</f>
        <v>60</v>
      </c>
      <c r="C11" s="5" t="s">
        <v>14</v>
      </c>
      <c r="D11" s="5" t="s">
        <v>13</v>
      </c>
      <c r="E11" s="5" t="s">
        <v>12</v>
      </c>
      <c r="F11" s="7"/>
      <c r="G11" s="4"/>
    </row>
    <row r="12" spans="1:7" x14ac:dyDescent="0.25">
      <c r="A12" s="5" t="s">
        <v>21</v>
      </c>
      <c r="B12" s="8">
        <v>0</v>
      </c>
      <c r="C12" s="5" t="s">
        <v>5</v>
      </c>
      <c r="D12" s="5" t="s">
        <v>4</v>
      </c>
      <c r="E12" s="5" t="s">
        <v>36</v>
      </c>
      <c r="F12" s="7"/>
    </row>
    <row r="13" spans="1:7" x14ac:dyDescent="0.25">
      <c r="A13" s="10"/>
      <c r="B13" s="10"/>
      <c r="C13" s="10"/>
      <c r="D13" s="10"/>
      <c r="E13" s="10"/>
      <c r="F13" s="7"/>
    </row>
    <row r="14" spans="1:7" x14ac:dyDescent="0.25">
      <c r="A14" s="13"/>
      <c r="B14" s="10"/>
      <c r="C14" s="12" t="s">
        <v>27</v>
      </c>
      <c r="D14" s="12" t="s">
        <v>32</v>
      </c>
    </row>
    <row r="15" spans="1:7" x14ac:dyDescent="0.25">
      <c r="A15" s="1" t="s">
        <v>26</v>
      </c>
      <c r="C15" s="11">
        <f>PMT(B10,B11,B5,B6,B12)</f>
        <v>-2224.4447684901775</v>
      </c>
      <c r="D15" s="11">
        <f>IF(B10,(-B10*(B5*(1+B10)^B11+B6))/((1+B10*B12)*((1+B10)^B11-1)),(B5+B6)/B11)</f>
        <v>-2224.4447684901761</v>
      </c>
    </row>
    <row r="16" spans="1:7" x14ac:dyDescent="0.25">
      <c r="A16" s="1"/>
      <c r="C16" s="13"/>
      <c r="D16" s="13"/>
      <c r="F16" s="7"/>
    </row>
    <row r="17" spans="1:17" x14ac:dyDescent="0.25">
      <c r="A17" s="1" t="s">
        <v>33</v>
      </c>
      <c r="C17" s="13"/>
      <c r="D17" s="13"/>
      <c r="H17" s="24"/>
      <c r="K17" s="1" t="s">
        <v>42</v>
      </c>
    </row>
    <row r="18" spans="1:17" hidden="1" x14ac:dyDescent="0.25">
      <c r="A18" s="1"/>
    </row>
    <row r="19" spans="1:17" ht="45" x14ac:dyDescent="0.25">
      <c r="A19" s="15" t="s">
        <v>29</v>
      </c>
      <c r="B19" s="15" t="s">
        <v>48</v>
      </c>
      <c r="C19" s="15" t="s">
        <v>44</v>
      </c>
      <c r="D19" s="16" t="s">
        <v>30</v>
      </c>
      <c r="E19" s="15" t="s">
        <v>45</v>
      </c>
      <c r="F19" s="15" t="s">
        <v>41</v>
      </c>
      <c r="G19" s="15" t="s">
        <v>49</v>
      </c>
      <c r="H19" s="33" t="s">
        <v>50</v>
      </c>
      <c r="I19" s="33" t="s">
        <v>51</v>
      </c>
      <c r="K19" s="28" t="s">
        <v>43</v>
      </c>
      <c r="L19" s="29" t="s">
        <v>48</v>
      </c>
      <c r="M19" s="29" t="s">
        <v>44</v>
      </c>
      <c r="N19" s="29" t="s">
        <v>47</v>
      </c>
      <c r="O19" s="29" t="s">
        <v>46</v>
      </c>
      <c r="P19" s="29" t="s">
        <v>49</v>
      </c>
      <c r="Q19" t="s">
        <v>61</v>
      </c>
    </row>
    <row r="20" spans="1:17" x14ac:dyDescent="0.25">
      <c r="A20" s="3">
        <f>IF(ROW()-ROW(Табл1[[#Headers],[Период (№месяца)]])&gt;$B$11,0,ROW()-ROW(Табл1[[#Headers],[Период (№месяца)]]))</f>
        <v>1</v>
      </c>
      <c r="B20" s="4">
        <f>$B$5+SUM($D$19:D19)</f>
        <v>100000</v>
      </c>
      <c r="C20" s="4">
        <f t="shared" ref="C20:C51" si="0">PMT($B$10,$B$11,$B$5,$B$6,$B$12)</f>
        <v>-2224.4447684901775</v>
      </c>
      <c r="D20" s="4">
        <f t="shared" ref="D20:D51" si="1">PPMT($B$10,A20,$B$11,$B$5,$B$6,$B$12)</f>
        <v>-1224.4447684901775</v>
      </c>
      <c r="E20" s="4">
        <f t="shared" ref="E20:E51" si="2">IPMT($B$10,A20,$B$11,$B$5,$B$6,$B$12)</f>
        <v>-1000</v>
      </c>
      <c r="F20" s="4">
        <f>SUM($D$20:D20)</f>
        <v>-1224.4447684901775</v>
      </c>
      <c r="G20" s="4">
        <f>Табл1[[#This Row],[Тело кредита на начало периода]]+Табл1[[#This Row],[Тело кредита]]</f>
        <v>98775.555231509818</v>
      </c>
      <c r="H20" s="23">
        <f>PV($B$10,$B$11-Табл1[[#This Row],[Период (№месяца)]]+1,$C$15,$B$6,$B$12)/IF(Табл1[[#This Row],[Период (№месяца)]]=1,1,1+$B$12*$B$10)</f>
        <v>100000.00000000004</v>
      </c>
      <c r="I20" s="4">
        <f>-FV($B$10,Табл1[[#This Row],[Период (№месяца)]],$C$15,$B$5,$B$12)/(1+$B$12*$B$10)</f>
        <v>98775.555231509818</v>
      </c>
      <c r="K20" s="30">
        <v>1</v>
      </c>
      <c r="L20" s="31">
        <f>B5</f>
        <v>100000</v>
      </c>
      <c r="M20" s="32">
        <f>-$D$15</f>
        <v>2224.4447684901761</v>
      </c>
      <c r="N20" s="31">
        <f>IF(B12,0,L20)*$B$10</f>
        <v>1000</v>
      </c>
      <c r="O20" s="32">
        <f>M20-N20</f>
        <v>1224.4447684901761</v>
      </c>
      <c r="P20" s="32">
        <f>L20-O20</f>
        <v>98775.555231509818</v>
      </c>
    </row>
    <row r="21" spans="1:17" x14ac:dyDescent="0.25">
      <c r="A21" s="3">
        <f>IF(ROW()-ROW(Табл1[[#Headers],[Период (№месяца)]])&gt;$B$11,0,ROW()-ROW(Табл1[[#Headers],[Период (№месяца)]]))</f>
        <v>2</v>
      </c>
      <c r="B21" s="4">
        <f>$B$5+SUM($D$19:D20)</f>
        <v>98775.555231509818</v>
      </c>
      <c r="C21" s="4">
        <f t="shared" si="0"/>
        <v>-2224.4447684901775</v>
      </c>
      <c r="D21" s="4">
        <f t="shared" si="1"/>
        <v>-1236.6892161750791</v>
      </c>
      <c r="E21" s="4">
        <f t="shared" si="2"/>
        <v>-987.75555231509816</v>
      </c>
      <c r="F21" s="4">
        <f>SUM($D$20:D21)</f>
        <v>-2461.1339846652563</v>
      </c>
      <c r="G21" s="4">
        <f>Табл1[[#This Row],[Тело кредита на начало периода]]+Табл1[[#This Row],[Тело кредита]]</f>
        <v>97538.866015334745</v>
      </c>
      <c r="H21" s="23">
        <f>PV($B$10,$B$11-Табл1[[#This Row],[Период (№месяца)]]+1,$C$15,$B$6,$B$12)/IF(Табл1[[#This Row],[Период (№месяца)]]=1,1,1+$B$12*$B$10)</f>
        <v>98775.555231509861</v>
      </c>
      <c r="I21" s="4">
        <f>-FV($B$10,Табл1[[#This Row],[Период (№месяца)]],$C$15,$B$5,$B$12)/(1+$B$12*$B$10)</f>
        <v>97538.866015334745</v>
      </c>
      <c r="K21" s="30">
        <v>2</v>
      </c>
      <c r="L21" s="32">
        <f>P20</f>
        <v>98775.555231509818</v>
      </c>
      <c r="M21" s="32">
        <f t="shared" ref="M21:M79" si="3">-$D$15</f>
        <v>2224.4447684901761</v>
      </c>
      <c r="N21" s="32">
        <f>L21*$B$10</f>
        <v>987.75555231509816</v>
      </c>
      <c r="O21" s="32">
        <f>M21-N21</f>
        <v>1236.6892161750779</v>
      </c>
      <c r="P21" s="32">
        <f>L21-O21</f>
        <v>97538.866015334745</v>
      </c>
    </row>
    <row r="22" spans="1:17" x14ac:dyDescent="0.25">
      <c r="A22" s="3">
        <f>IF(ROW()-ROW(Табл1[[#Headers],[Период (№месяца)]])&gt;$B$11,0,ROW()-ROW(Табл1[[#Headers],[Период (№месяца)]]))</f>
        <v>3</v>
      </c>
      <c r="B22" s="4">
        <f>$B$5+SUM($D$19:D21)</f>
        <v>97538.866015334745</v>
      </c>
      <c r="C22" s="4">
        <f t="shared" si="0"/>
        <v>-2224.4447684901775</v>
      </c>
      <c r="D22" s="4">
        <f t="shared" si="1"/>
        <v>-1249.0561083368298</v>
      </c>
      <c r="E22" s="4">
        <f t="shared" si="2"/>
        <v>-975.38866015334736</v>
      </c>
      <c r="F22" s="4">
        <f>SUM($D$20:D22)</f>
        <v>-3710.1900930020861</v>
      </c>
      <c r="G22" s="4">
        <f>Табл1[[#This Row],[Тело кредита на начало периода]]+Табл1[[#This Row],[Тело кредита]]</f>
        <v>96289.809906997922</v>
      </c>
      <c r="H22" s="23">
        <f>PV($B$10,$B$11-Табл1[[#This Row],[Период (№месяца)]]+1,$C$15,$B$6,$B$12)/IF(Табл1[[#This Row],[Период (№месяца)]]=1,1,1+$B$12*$B$10)</f>
        <v>97538.866015334832</v>
      </c>
      <c r="I22" s="4">
        <f>-FV($B$10,Табл1[[#This Row],[Период (№месяца)]],$C$15,$B$5,$B$12)/(1+$B$12*$B$10)</f>
        <v>96289.809906997922</v>
      </c>
      <c r="K22" s="30">
        <v>3</v>
      </c>
      <c r="L22" s="32">
        <f t="shared" ref="L22:L79" si="4">P21</f>
        <v>97538.866015334745</v>
      </c>
      <c r="M22" s="32">
        <f t="shared" si="3"/>
        <v>2224.4447684901761</v>
      </c>
      <c r="N22" s="32">
        <f t="shared" ref="N22:N79" si="5">L22*$B$10</f>
        <v>975.38866015334747</v>
      </c>
      <c r="O22" s="32">
        <f t="shared" ref="O22:O79" si="6">M22-N22</f>
        <v>1249.0561083368286</v>
      </c>
      <c r="P22" s="32">
        <f t="shared" ref="P22:P79" si="7">L22-O22</f>
        <v>96289.809906997922</v>
      </c>
    </row>
    <row r="23" spans="1:17" x14ac:dyDescent="0.25">
      <c r="A23" s="3">
        <f>IF(ROW()-ROW(Табл1[[#Headers],[Период (№месяца)]])&gt;$B$11,0,ROW()-ROW(Табл1[[#Headers],[Период (№месяца)]]))</f>
        <v>4</v>
      </c>
      <c r="B23" s="4">
        <f>$B$5+SUM($D$19:D22)</f>
        <v>96289.809906997907</v>
      </c>
      <c r="C23" s="4">
        <f t="shared" si="0"/>
        <v>-2224.4447684901775</v>
      </c>
      <c r="D23" s="4">
        <f t="shared" si="1"/>
        <v>-1261.5466694201984</v>
      </c>
      <c r="E23" s="4">
        <f t="shared" si="2"/>
        <v>-962.89809906997914</v>
      </c>
      <c r="F23" s="4">
        <f>SUM($D$20:D23)</f>
        <v>-4971.7367624222843</v>
      </c>
      <c r="G23" s="4">
        <f>Табл1[[#This Row],[Тело кредита на начало периода]]+Табл1[[#This Row],[Тело кредита]]</f>
        <v>95028.263237577703</v>
      </c>
      <c r="H23" s="23">
        <f>PV($B$10,$B$11-Табл1[[#This Row],[Период (№месяца)]]+1,$C$15,$B$6,$B$12)/IF(Табл1[[#This Row],[Период (№месяца)]]=1,1,1+$B$12*$B$10)</f>
        <v>96289.809906998009</v>
      </c>
      <c r="I23" s="4">
        <f>-FV($B$10,Табл1[[#This Row],[Период (№месяца)]],$C$15,$B$5,$B$12)/(1+$B$12*$B$10)</f>
        <v>95028.263237577703</v>
      </c>
      <c r="K23" s="30">
        <v>4</v>
      </c>
      <c r="L23" s="32">
        <f t="shared" si="4"/>
        <v>96289.809906997922</v>
      </c>
      <c r="M23" s="32">
        <f t="shared" si="3"/>
        <v>2224.4447684901761</v>
      </c>
      <c r="N23" s="32">
        <f t="shared" si="5"/>
        <v>962.89809906997925</v>
      </c>
      <c r="O23" s="32">
        <f t="shared" si="6"/>
        <v>1261.5466694201968</v>
      </c>
      <c r="P23" s="32">
        <f t="shared" si="7"/>
        <v>95028.263237577718</v>
      </c>
    </row>
    <row r="24" spans="1:17" x14ac:dyDescent="0.25">
      <c r="A24" s="3">
        <f>IF(ROW()-ROW(Табл1[[#Headers],[Период (№месяца)]])&gt;$B$11,0,ROW()-ROW(Табл1[[#Headers],[Период (№месяца)]]))</f>
        <v>5</v>
      </c>
      <c r="B24" s="4">
        <f>$B$5+SUM($D$19:D23)</f>
        <v>95028.263237577718</v>
      </c>
      <c r="C24" s="4">
        <f t="shared" si="0"/>
        <v>-2224.4447684901775</v>
      </c>
      <c r="D24" s="4">
        <f t="shared" si="1"/>
        <v>-1274.1621361144</v>
      </c>
      <c r="E24" s="4">
        <f t="shared" si="2"/>
        <v>-950.28263237577687</v>
      </c>
      <c r="F24" s="4">
        <f>SUM($D$20:D24)</f>
        <v>-6245.8988985366841</v>
      </c>
      <c r="G24" s="4">
        <f>Табл1[[#This Row],[Тело кредита на начало периода]]+Табл1[[#This Row],[Тело кредита]]</f>
        <v>93754.101101463311</v>
      </c>
      <c r="H24" s="23">
        <f>PV($B$10,$B$11-Табл1[[#This Row],[Период (№месяца)]]+1,$C$15,$B$6,$B$12)/IF(Табл1[[#This Row],[Период (№месяца)]]=1,1,1+$B$12*$B$10)</f>
        <v>95028.263237577805</v>
      </c>
      <c r="I24" s="4">
        <f>-FV($B$10,Табл1[[#This Row],[Период (№месяца)]],$C$15,$B$5,$B$12)/(1+$B$12*$B$10)</f>
        <v>93754.101101463326</v>
      </c>
      <c r="K24" s="30">
        <v>5</v>
      </c>
      <c r="L24" s="32">
        <f t="shared" si="4"/>
        <v>95028.263237577718</v>
      </c>
      <c r="M24" s="32">
        <f t="shared" si="3"/>
        <v>2224.4447684901761</v>
      </c>
      <c r="N24" s="32">
        <f t="shared" si="5"/>
        <v>950.28263237577721</v>
      </c>
      <c r="O24" s="32">
        <f t="shared" si="6"/>
        <v>1274.1621361143989</v>
      </c>
      <c r="P24" s="32">
        <f t="shared" si="7"/>
        <v>93754.101101463311</v>
      </c>
    </row>
    <row r="25" spans="1:17" x14ac:dyDescent="0.25">
      <c r="A25" s="3">
        <f>IF(ROW()-ROW(Табл1[[#Headers],[Период (№месяца)]])&gt;$B$11,0,ROW()-ROW(Табл1[[#Headers],[Период (№месяца)]]))</f>
        <v>6</v>
      </c>
      <c r="B25" s="4">
        <f>$B$5+SUM($D$19:D24)</f>
        <v>93754.101101463311</v>
      </c>
      <c r="C25" s="4">
        <f t="shared" si="0"/>
        <v>-2224.4447684901775</v>
      </c>
      <c r="D25" s="4">
        <f t="shared" si="1"/>
        <v>-1286.9037574755441</v>
      </c>
      <c r="E25" s="4">
        <f t="shared" si="2"/>
        <v>-937.54101101463311</v>
      </c>
      <c r="F25" s="4">
        <f>SUM($D$20:D25)</f>
        <v>-7532.802656012228</v>
      </c>
      <c r="G25" s="4">
        <f>Табл1[[#This Row],[Тело кредита на начало периода]]+Табл1[[#This Row],[Тело кредита]]</f>
        <v>92467.197343987762</v>
      </c>
      <c r="H25" s="23">
        <f>PV($B$10,$B$11-Табл1[[#This Row],[Период (№месяца)]]+1,$C$15,$B$6,$B$12)/IF(Табл1[[#This Row],[Период (№месяца)]]=1,1,1+$B$12*$B$10)</f>
        <v>93754.101101463355</v>
      </c>
      <c r="I25" s="4">
        <f>-FV($B$10,Табл1[[#This Row],[Период (№месяца)]],$C$15,$B$5,$B$12)/(1+$B$12*$B$10)</f>
        <v>92467.197343987762</v>
      </c>
      <c r="K25" s="30">
        <v>6</v>
      </c>
      <c r="L25" s="32">
        <f t="shared" si="4"/>
        <v>93754.101101463311</v>
      </c>
      <c r="M25" s="32">
        <f t="shared" si="3"/>
        <v>2224.4447684901761</v>
      </c>
      <c r="N25" s="32">
        <f t="shared" si="5"/>
        <v>937.54101101463311</v>
      </c>
      <c r="O25" s="32">
        <f t="shared" si="6"/>
        <v>1286.903757475543</v>
      </c>
      <c r="P25" s="32">
        <f t="shared" si="7"/>
        <v>92467.197343987762</v>
      </c>
    </row>
    <row r="26" spans="1:17" x14ac:dyDescent="0.25">
      <c r="A26" s="3">
        <f>IF(ROW()-ROW(Табл1[[#Headers],[Период (№месяца)]])&gt;$B$11,0,ROW()-ROW(Табл1[[#Headers],[Период (№месяца)]]))</f>
        <v>7</v>
      </c>
      <c r="B26" s="4">
        <f>$B$5+SUM($D$19:D25)</f>
        <v>92467.197343987777</v>
      </c>
      <c r="C26" s="4">
        <f t="shared" si="0"/>
        <v>-2224.4447684901775</v>
      </c>
      <c r="D26" s="4">
        <f t="shared" si="1"/>
        <v>-1299.7727950502997</v>
      </c>
      <c r="E26" s="4">
        <f t="shared" si="2"/>
        <v>-924.67197343987766</v>
      </c>
      <c r="F26" s="4">
        <f>SUM($D$20:D26)</f>
        <v>-8832.5754510625284</v>
      </c>
      <c r="G26" s="4">
        <f>Табл1[[#This Row],[Тело кредита на начало периода]]+Табл1[[#This Row],[Тело кредита]]</f>
        <v>91167.424548937473</v>
      </c>
      <c r="H26" s="23">
        <f>PV($B$10,$B$11-Табл1[[#This Row],[Период (№месяца)]]+1,$C$15,$B$6,$B$12)/IF(Табл1[[#This Row],[Период (№месяца)]]=1,1,1+$B$12*$B$10)</f>
        <v>92467.197343987864</v>
      </c>
      <c r="I26" s="4">
        <f>-FV($B$10,Табл1[[#This Row],[Период (№месяца)]],$C$15,$B$5,$B$12)/(1+$B$12*$B$10)</f>
        <v>91167.424548937488</v>
      </c>
      <c r="K26" s="30">
        <v>7</v>
      </c>
      <c r="L26" s="32">
        <f t="shared" si="4"/>
        <v>92467.197343987762</v>
      </c>
      <c r="M26" s="32">
        <f t="shared" si="3"/>
        <v>2224.4447684901761</v>
      </c>
      <c r="N26" s="32">
        <f t="shared" si="5"/>
        <v>924.67197343987766</v>
      </c>
      <c r="O26" s="32">
        <f t="shared" si="6"/>
        <v>1299.7727950502986</v>
      </c>
      <c r="P26" s="32">
        <f t="shared" si="7"/>
        <v>91167.424548937459</v>
      </c>
    </row>
    <row r="27" spans="1:17" x14ac:dyDescent="0.25">
      <c r="A27" s="3">
        <f>IF(ROW()-ROW(Табл1[[#Headers],[Период (№месяца)]])&gt;$B$11,0,ROW()-ROW(Табл1[[#Headers],[Период (№месяца)]]))</f>
        <v>8</v>
      </c>
      <c r="B27" s="4">
        <f>$B$5+SUM($D$19:D26)</f>
        <v>91167.424548937473</v>
      </c>
      <c r="C27" s="4">
        <f t="shared" si="0"/>
        <v>-2224.4447684901775</v>
      </c>
      <c r="D27" s="4">
        <f t="shared" si="1"/>
        <v>-1312.7705230008028</v>
      </c>
      <c r="E27" s="4">
        <f t="shared" si="2"/>
        <v>-911.67424548937458</v>
      </c>
      <c r="F27" s="4">
        <f>SUM($D$20:D27)</f>
        <v>-10145.345974063332</v>
      </c>
      <c r="G27" s="4">
        <f>Табл1[[#This Row],[Тело кредита на начало периода]]+Табл1[[#This Row],[Тело кредита]]</f>
        <v>89854.654025936674</v>
      </c>
      <c r="H27" s="23">
        <f>PV($B$10,$B$11-Табл1[[#This Row],[Период (№месяца)]]+1,$C$15,$B$6,$B$12)/IF(Табл1[[#This Row],[Период (№месяца)]]=1,1,1+$B$12*$B$10)</f>
        <v>91167.424548937517</v>
      </c>
      <c r="I27" s="4">
        <f>-FV($B$10,Табл1[[#This Row],[Период (№месяца)]],$C$15,$B$5,$B$12)/(1+$B$12*$B$10)</f>
        <v>89854.654025936659</v>
      </c>
      <c r="K27" s="30">
        <v>8</v>
      </c>
      <c r="L27" s="32">
        <f t="shared" si="4"/>
        <v>91167.424548937459</v>
      </c>
      <c r="M27" s="32">
        <f t="shared" si="3"/>
        <v>2224.4447684901761</v>
      </c>
      <c r="N27" s="32">
        <f t="shared" si="5"/>
        <v>911.67424548937458</v>
      </c>
      <c r="O27" s="32">
        <f t="shared" si="6"/>
        <v>1312.7705230008014</v>
      </c>
      <c r="P27" s="32">
        <f t="shared" si="7"/>
        <v>89854.654025936659</v>
      </c>
    </row>
    <row r="28" spans="1:17" x14ac:dyDescent="0.25">
      <c r="A28" s="3">
        <f>IF(ROW()-ROW(Табл1[[#Headers],[Период (№месяца)]])&gt;$B$11,0,ROW()-ROW(Табл1[[#Headers],[Период (№месяца)]]))</f>
        <v>9</v>
      </c>
      <c r="B28" s="4">
        <f>$B$5+SUM($D$19:D27)</f>
        <v>89854.654025936674</v>
      </c>
      <c r="C28" s="4">
        <f t="shared" si="0"/>
        <v>-2224.4447684901775</v>
      </c>
      <c r="D28" s="4">
        <f t="shared" si="1"/>
        <v>-1325.8982282308109</v>
      </c>
      <c r="E28" s="4">
        <f t="shared" si="2"/>
        <v>-898.54654025936679</v>
      </c>
      <c r="F28" s="4">
        <f>SUM($D$20:D28)</f>
        <v>-11471.244202294143</v>
      </c>
      <c r="G28" s="4">
        <f>Табл1[[#This Row],[Тело кредита на начало периода]]+Табл1[[#This Row],[Тело кредита]]</f>
        <v>88528.75579770586</v>
      </c>
      <c r="H28" s="23">
        <f>PV($B$10,$B$11-Табл1[[#This Row],[Период (№месяца)]]+1,$C$15,$B$6,$B$12)/IF(Табл1[[#This Row],[Период (№месяца)]]=1,1,1+$B$12*$B$10)</f>
        <v>89854.654025936718</v>
      </c>
      <c r="I28" s="4">
        <f>-FV($B$10,Табл1[[#This Row],[Период (№месяца)]],$C$15,$B$5,$B$12)/(1+$B$12*$B$10)</f>
        <v>88528.755797705831</v>
      </c>
      <c r="K28" s="30">
        <v>9</v>
      </c>
      <c r="L28" s="32">
        <f t="shared" si="4"/>
        <v>89854.654025936659</v>
      </c>
      <c r="M28" s="32">
        <f t="shared" si="3"/>
        <v>2224.4447684901761</v>
      </c>
      <c r="N28" s="32">
        <f t="shared" si="5"/>
        <v>898.54654025936657</v>
      </c>
      <c r="O28" s="32">
        <f t="shared" si="6"/>
        <v>1325.8982282308095</v>
      </c>
      <c r="P28" s="32">
        <f t="shared" si="7"/>
        <v>88528.755797705846</v>
      </c>
    </row>
    <row r="29" spans="1:17" x14ac:dyDescent="0.25">
      <c r="A29" s="3">
        <f>IF(ROW()-ROW(Табл1[[#Headers],[Период (№месяца)]])&gt;$B$11,0,ROW()-ROW(Табл1[[#Headers],[Период (№месяца)]]))</f>
        <v>10</v>
      </c>
      <c r="B29" s="4">
        <f>$B$5+SUM($D$19:D28)</f>
        <v>88528.75579770586</v>
      </c>
      <c r="C29" s="4">
        <f t="shared" si="0"/>
        <v>-2224.4447684901775</v>
      </c>
      <c r="D29" s="4">
        <f t="shared" si="1"/>
        <v>-1339.1572105131188</v>
      </c>
      <c r="E29" s="4">
        <f t="shared" si="2"/>
        <v>-885.28755797705867</v>
      </c>
      <c r="F29" s="4">
        <f>SUM($D$20:D29)</f>
        <v>-12810.401412807261</v>
      </c>
      <c r="G29" s="4">
        <f>Табл1[[#This Row],[Тело кредита на начало периода]]+Табл1[[#This Row],[Тело кредита]]</f>
        <v>87189.598587192741</v>
      </c>
      <c r="H29" s="23">
        <f>PV($B$10,$B$11-Табл1[[#This Row],[Период (№месяца)]]+1,$C$15,$B$6,$B$12)/IF(Табл1[[#This Row],[Период (№месяца)]]=1,1,1+$B$12*$B$10)</f>
        <v>88528.755797705919</v>
      </c>
      <c r="I29" s="4">
        <f>-FV($B$10,Табл1[[#This Row],[Период (№месяца)]],$C$15,$B$5,$B$12)/(1+$B$12*$B$10)</f>
        <v>87189.598587192711</v>
      </c>
      <c r="K29" s="30">
        <v>10</v>
      </c>
      <c r="L29" s="32">
        <f t="shared" si="4"/>
        <v>88528.755797705846</v>
      </c>
      <c r="M29" s="32">
        <f t="shared" si="3"/>
        <v>2224.4447684901761</v>
      </c>
      <c r="N29" s="32">
        <f t="shared" si="5"/>
        <v>885.28755797705844</v>
      </c>
      <c r="O29" s="32">
        <f t="shared" si="6"/>
        <v>1339.1572105131177</v>
      </c>
      <c r="P29" s="32">
        <f t="shared" si="7"/>
        <v>87189.598587192726</v>
      </c>
    </row>
    <row r="30" spans="1:17" x14ac:dyDescent="0.25">
      <c r="A30" s="3">
        <f>IF(ROW()-ROW(Табл1[[#Headers],[Период (№месяца)]])&gt;$B$11,0,ROW()-ROW(Табл1[[#Headers],[Период (№месяца)]]))</f>
        <v>11</v>
      </c>
      <c r="B30" s="4">
        <f>$B$5+SUM($D$19:D29)</f>
        <v>87189.598587192741</v>
      </c>
      <c r="C30" s="4">
        <f t="shared" si="0"/>
        <v>-2224.4447684901775</v>
      </c>
      <c r="D30" s="4">
        <f t="shared" si="1"/>
        <v>-1352.5487826182498</v>
      </c>
      <c r="E30" s="4">
        <f t="shared" si="2"/>
        <v>-871.89598587192745</v>
      </c>
      <c r="F30" s="4">
        <f>SUM($D$20:D30)</f>
        <v>-14162.95019542551</v>
      </c>
      <c r="G30" s="4">
        <f>Табл1[[#This Row],[Тело кредита на начало периода]]+Табл1[[#This Row],[Тело кредита]]</f>
        <v>85837.04980457449</v>
      </c>
      <c r="H30" s="23">
        <f>PV($B$10,$B$11-Табл1[[#This Row],[Период (№месяца)]]+1,$C$15,$B$6,$B$12)/IF(Табл1[[#This Row],[Период (№месяца)]]=1,1,1+$B$12*$B$10)</f>
        <v>87189.598587192828</v>
      </c>
      <c r="I30" s="4">
        <f>-FV($B$10,Табл1[[#This Row],[Период (№месяца)]],$C$15,$B$5,$B$12)/(1+$B$12*$B$10)</f>
        <v>85837.04980457449</v>
      </c>
      <c r="K30" s="30">
        <v>11</v>
      </c>
      <c r="L30" s="32">
        <f t="shared" si="4"/>
        <v>87189.598587192726</v>
      </c>
      <c r="M30" s="32">
        <f t="shared" si="3"/>
        <v>2224.4447684901761</v>
      </c>
      <c r="N30" s="32">
        <f t="shared" si="5"/>
        <v>871.89598587192722</v>
      </c>
      <c r="O30" s="32">
        <f t="shared" si="6"/>
        <v>1352.5487826182489</v>
      </c>
      <c r="P30" s="32">
        <f t="shared" si="7"/>
        <v>85837.049804574475</v>
      </c>
    </row>
    <row r="31" spans="1:17" x14ac:dyDescent="0.25">
      <c r="A31" s="3">
        <f>IF(ROW()-ROW(Табл1[[#Headers],[Период (№месяца)]])&gt;$B$11,0,ROW()-ROW(Табл1[[#Headers],[Период (№месяца)]]))</f>
        <v>12</v>
      </c>
      <c r="B31" s="4">
        <f>$B$5+SUM($D$19:D30)</f>
        <v>85837.04980457449</v>
      </c>
      <c r="C31" s="4">
        <f t="shared" si="0"/>
        <v>-2224.4447684901775</v>
      </c>
      <c r="D31" s="4">
        <f t="shared" si="1"/>
        <v>-1366.0742704444324</v>
      </c>
      <c r="E31" s="4">
        <f t="shared" si="2"/>
        <v>-858.37049804574497</v>
      </c>
      <c r="F31" s="4">
        <f>SUM($D$20:D31)</f>
        <v>-15529.024465869943</v>
      </c>
      <c r="G31" s="4">
        <f>Табл1[[#This Row],[Тело кредита на начало периода]]+Табл1[[#This Row],[Тело кредита]]</f>
        <v>84470.975534130062</v>
      </c>
      <c r="H31" s="23">
        <f>PV($B$10,$B$11-Табл1[[#This Row],[Период (№месяца)]]+1,$C$15,$B$6,$B$12)/IF(Табл1[[#This Row],[Период (№месяца)]]=1,1,1+$B$12*$B$10)</f>
        <v>85837.049804574548</v>
      </c>
      <c r="I31" s="4">
        <f>-FV($B$10,Табл1[[#This Row],[Период (№месяца)]],$C$15,$B$5,$B$12)/(1+$B$12*$B$10)</f>
        <v>84470.975534130062</v>
      </c>
      <c r="K31" s="30">
        <v>12</v>
      </c>
      <c r="L31" s="32">
        <f t="shared" si="4"/>
        <v>85837.049804574475</v>
      </c>
      <c r="M31" s="32">
        <f t="shared" si="3"/>
        <v>2224.4447684901761</v>
      </c>
      <c r="N31" s="32">
        <f t="shared" si="5"/>
        <v>858.37049804574474</v>
      </c>
      <c r="O31" s="32">
        <f t="shared" si="6"/>
        <v>1366.0742704444315</v>
      </c>
      <c r="P31" s="32">
        <f t="shared" si="7"/>
        <v>84470.975534130048</v>
      </c>
    </row>
    <row r="32" spans="1:17" x14ac:dyDescent="0.25">
      <c r="A32" s="3">
        <f>IF(ROW()-ROW(Табл1[[#Headers],[Период (№месяца)]])&gt;$B$11,0,ROW()-ROW(Табл1[[#Headers],[Период (№месяца)]]))</f>
        <v>13</v>
      </c>
      <c r="B32" s="4">
        <f>$B$5+SUM($D$19:D31)</f>
        <v>84470.975534130062</v>
      </c>
      <c r="C32" s="4">
        <f t="shared" si="0"/>
        <v>-2224.4447684901775</v>
      </c>
      <c r="D32" s="4">
        <f t="shared" si="1"/>
        <v>-1379.735013148877</v>
      </c>
      <c r="E32" s="4">
        <f t="shared" si="2"/>
        <v>-844.70975534130048</v>
      </c>
      <c r="F32" s="4">
        <f>SUM($D$20:D32)</f>
        <v>-16908.75947901882</v>
      </c>
      <c r="G32" s="4">
        <f>Табл1[[#This Row],[Тело кредита на начало периода]]+Табл1[[#This Row],[Тело кредита]]</f>
        <v>83091.240520981184</v>
      </c>
      <c r="H32" s="23">
        <f>PV($B$10,$B$11-Табл1[[#This Row],[Период (№месяца)]]+1,$C$15,$B$6,$B$12)/IF(Табл1[[#This Row],[Период (№месяца)]]=1,1,1+$B$12*$B$10)</f>
        <v>84470.975534130121</v>
      </c>
      <c r="I32" s="4">
        <f>-FV($B$10,Табл1[[#This Row],[Период (№месяца)]],$C$15,$B$5,$B$12)/(1+$B$12*$B$10)</f>
        <v>83091.24052098117</v>
      </c>
      <c r="J32" s="4"/>
      <c r="K32" s="30">
        <v>13</v>
      </c>
      <c r="L32" s="32">
        <f t="shared" si="4"/>
        <v>84470.975534130048</v>
      </c>
      <c r="M32" s="32">
        <f t="shared" si="3"/>
        <v>2224.4447684901761</v>
      </c>
      <c r="N32" s="32">
        <f t="shared" si="5"/>
        <v>844.70975534130048</v>
      </c>
      <c r="O32" s="32">
        <f t="shared" si="6"/>
        <v>1379.7350131488756</v>
      </c>
      <c r="P32" s="32">
        <f t="shared" si="7"/>
        <v>83091.24052098117</v>
      </c>
    </row>
    <row r="33" spans="1:16" x14ac:dyDescent="0.25">
      <c r="A33" s="3">
        <f>IF(ROW()-ROW(Табл1[[#Headers],[Период (№месяца)]])&gt;$B$11,0,ROW()-ROW(Табл1[[#Headers],[Период (№месяца)]]))</f>
        <v>14</v>
      </c>
      <c r="B33" s="4">
        <f>$B$5+SUM($D$19:D32)</f>
        <v>83091.240520981184</v>
      </c>
      <c r="C33" s="4">
        <f t="shared" si="0"/>
        <v>-2224.4447684901775</v>
      </c>
      <c r="D33" s="4">
        <f t="shared" si="1"/>
        <v>-1393.5323632803656</v>
      </c>
      <c r="E33" s="4">
        <f t="shared" si="2"/>
        <v>-830.91240520981171</v>
      </c>
      <c r="F33" s="4">
        <f>SUM($D$20:D33)</f>
        <v>-18302.291842299186</v>
      </c>
      <c r="G33" s="4">
        <f>Табл1[[#This Row],[Тело кредита на начало периода]]+Табл1[[#This Row],[Тело кредита]]</f>
        <v>81697.708157700821</v>
      </c>
      <c r="H33" s="23">
        <f>PV($B$10,$B$11-Табл1[[#This Row],[Период (№месяца)]]+1,$C$15,$B$6,$B$12)/IF(Табл1[[#This Row],[Период (№месяца)]]=1,1,1+$B$12*$B$10)</f>
        <v>83091.240520981199</v>
      </c>
      <c r="I33" s="4">
        <f>-FV($B$10,Табл1[[#This Row],[Период (№месяца)]],$C$15,$B$5,$B$12)/(1+$B$12*$B$10)</f>
        <v>81697.708157700792</v>
      </c>
      <c r="K33" s="30">
        <v>14</v>
      </c>
      <c r="L33" s="32">
        <f t="shared" si="4"/>
        <v>83091.24052098117</v>
      </c>
      <c r="M33" s="32">
        <f t="shared" si="3"/>
        <v>2224.4447684901761</v>
      </c>
      <c r="N33" s="32">
        <f t="shared" si="5"/>
        <v>830.91240520981171</v>
      </c>
      <c r="O33" s="32">
        <f t="shared" si="6"/>
        <v>1393.5323632803643</v>
      </c>
      <c r="P33" s="32">
        <f t="shared" si="7"/>
        <v>81697.708157700807</v>
      </c>
    </row>
    <row r="34" spans="1:16" x14ac:dyDescent="0.25">
      <c r="A34" s="3">
        <f>IF(ROW()-ROW(Табл1[[#Headers],[Период (№месяца)]])&gt;$B$11,0,ROW()-ROW(Табл1[[#Headers],[Период (№месяца)]]))</f>
        <v>15</v>
      </c>
      <c r="B34" s="4">
        <f>$B$5+SUM($D$19:D33)</f>
        <v>81697.708157700807</v>
      </c>
      <c r="C34" s="4">
        <f t="shared" si="0"/>
        <v>-2224.4447684901775</v>
      </c>
      <c r="D34" s="4">
        <f t="shared" si="1"/>
        <v>-1407.4676869131692</v>
      </c>
      <c r="E34" s="4">
        <f t="shared" si="2"/>
        <v>-816.97708157700799</v>
      </c>
      <c r="F34" s="4">
        <f>SUM($D$20:D34)</f>
        <v>-19709.759529212355</v>
      </c>
      <c r="G34" s="4">
        <f>Табл1[[#This Row],[Тело кредита на начало периода]]+Табл1[[#This Row],[Тело кредита]]</f>
        <v>80290.240470787641</v>
      </c>
      <c r="H34" s="23">
        <f>PV($B$10,$B$11-Табл1[[#This Row],[Период (№месяца)]]+1,$C$15,$B$6,$B$12)/IF(Табл1[[#This Row],[Период (№месяца)]]=1,1,1+$B$12*$B$10)</f>
        <v>81697.708157700894</v>
      </c>
      <c r="I34" s="4">
        <f>-FV($B$10,Табл1[[#This Row],[Период (№месяца)]],$C$15,$B$5,$B$12)/(1+$B$12*$B$10)</f>
        <v>80290.240470787656</v>
      </c>
      <c r="K34" s="30">
        <v>15</v>
      </c>
      <c r="L34" s="32">
        <f t="shared" si="4"/>
        <v>81697.708157700807</v>
      </c>
      <c r="M34" s="32">
        <f t="shared" si="3"/>
        <v>2224.4447684901761</v>
      </c>
      <c r="N34" s="32">
        <f t="shared" si="5"/>
        <v>816.97708157700811</v>
      </c>
      <c r="O34" s="32">
        <f t="shared" si="6"/>
        <v>1407.4676869131681</v>
      </c>
      <c r="P34" s="32">
        <f t="shared" si="7"/>
        <v>80290.240470787641</v>
      </c>
    </row>
    <row r="35" spans="1:16" x14ac:dyDescent="0.25">
      <c r="A35" s="3">
        <f>IF(ROW()-ROW(Табл1[[#Headers],[Период (№месяца)]])&gt;$B$11,0,ROW()-ROW(Табл1[[#Headers],[Период (№месяца)]]))</f>
        <v>16</v>
      </c>
      <c r="B35" s="4">
        <f>$B$5+SUM($D$19:D34)</f>
        <v>80290.240470787641</v>
      </c>
      <c r="C35" s="4">
        <f t="shared" si="0"/>
        <v>-2224.4447684901775</v>
      </c>
      <c r="D35" s="4">
        <f t="shared" si="1"/>
        <v>-1421.542363782301</v>
      </c>
      <c r="E35" s="4">
        <f t="shared" si="2"/>
        <v>-802.90240470787626</v>
      </c>
      <c r="F35" s="4">
        <f>SUM($D$20:D35)</f>
        <v>-21131.301892994656</v>
      </c>
      <c r="G35" s="4">
        <f>Табл1[[#This Row],[Тело кредита на начало периода]]+Табл1[[#This Row],[Тело кредита]]</f>
        <v>78868.698107005344</v>
      </c>
      <c r="H35" s="23">
        <f>PV($B$10,$B$11-Табл1[[#This Row],[Период (№месяца)]]+1,$C$15,$B$6,$B$12)/IF(Табл1[[#This Row],[Период (№месяца)]]=1,1,1+$B$12*$B$10)</f>
        <v>80290.240470787699</v>
      </c>
      <c r="I35" s="4">
        <f>-FV($B$10,Табл1[[#This Row],[Период (№месяца)]],$C$15,$B$5,$B$12)/(1+$B$12*$B$10)</f>
        <v>78868.698107005301</v>
      </c>
      <c r="K35" s="30">
        <v>16</v>
      </c>
      <c r="L35" s="32">
        <f t="shared" si="4"/>
        <v>80290.240470787641</v>
      </c>
      <c r="M35" s="32">
        <f t="shared" si="3"/>
        <v>2224.4447684901761</v>
      </c>
      <c r="N35" s="32">
        <f t="shared" si="5"/>
        <v>802.90240470787649</v>
      </c>
      <c r="O35" s="32">
        <f t="shared" si="6"/>
        <v>1421.5423637822996</v>
      </c>
      <c r="P35" s="32">
        <f t="shared" si="7"/>
        <v>78868.698107005344</v>
      </c>
    </row>
    <row r="36" spans="1:16" x14ac:dyDescent="0.25">
      <c r="A36" s="3">
        <f>IF(ROW()-ROW(Табл1[[#Headers],[Период (№месяца)]])&gt;$B$11,0,ROW()-ROW(Табл1[[#Headers],[Период (№месяца)]]))</f>
        <v>17</v>
      </c>
      <c r="B36" s="4">
        <f>$B$5+SUM($D$19:D35)</f>
        <v>78868.698107005344</v>
      </c>
      <c r="C36" s="4">
        <f t="shared" si="0"/>
        <v>-2224.4447684901775</v>
      </c>
      <c r="D36" s="4">
        <f t="shared" si="1"/>
        <v>-1435.757787420124</v>
      </c>
      <c r="E36" s="4">
        <f t="shared" si="2"/>
        <v>-788.68698107005332</v>
      </c>
      <c r="F36" s="4">
        <f>SUM($D$20:D36)</f>
        <v>-22567.059680414779</v>
      </c>
      <c r="G36" s="4">
        <f>Табл1[[#This Row],[Тело кредита на начало периода]]+Табл1[[#This Row],[Тело кредита]]</f>
        <v>77432.940319585221</v>
      </c>
      <c r="H36" s="23">
        <f>PV($B$10,$B$11-Табл1[[#This Row],[Период (№месяца)]]+1,$C$15,$B$6,$B$12)/IF(Табл1[[#This Row],[Период (№месяца)]]=1,1,1+$B$12*$B$10)</f>
        <v>78868.698107005388</v>
      </c>
      <c r="I36" s="4">
        <f>-FV($B$10,Табл1[[#This Row],[Период (№месяца)]],$C$15,$B$5,$B$12)/(1+$B$12*$B$10)</f>
        <v>77432.940319585177</v>
      </c>
      <c r="K36" s="30">
        <v>17</v>
      </c>
      <c r="L36" s="32">
        <f t="shared" si="4"/>
        <v>78868.698107005344</v>
      </c>
      <c r="M36" s="32">
        <f t="shared" si="3"/>
        <v>2224.4447684901761</v>
      </c>
      <c r="N36" s="32">
        <f t="shared" si="5"/>
        <v>788.68698107005343</v>
      </c>
      <c r="O36" s="32">
        <f t="shared" si="6"/>
        <v>1435.7577874201227</v>
      </c>
      <c r="P36" s="32">
        <f t="shared" si="7"/>
        <v>77432.940319585221</v>
      </c>
    </row>
    <row r="37" spans="1:16" x14ac:dyDescent="0.25">
      <c r="A37" s="3">
        <f>IF(ROW()-ROW(Табл1[[#Headers],[Период (№месяца)]])&gt;$B$11,0,ROW()-ROW(Табл1[[#Headers],[Период (№месяца)]]))</f>
        <v>18</v>
      </c>
      <c r="B37" s="4">
        <f>$B$5+SUM($D$19:D36)</f>
        <v>77432.940319585221</v>
      </c>
      <c r="C37" s="4">
        <f t="shared" si="0"/>
        <v>-2224.4447684901775</v>
      </c>
      <c r="D37" s="4">
        <f t="shared" si="1"/>
        <v>-1450.1153652943251</v>
      </c>
      <c r="E37" s="4">
        <f t="shared" si="2"/>
        <v>-774.32940319585214</v>
      </c>
      <c r="F37" s="4">
        <f>SUM($D$20:D37)</f>
        <v>-24017.175045709104</v>
      </c>
      <c r="G37" s="4">
        <f>Табл1[[#This Row],[Тело кредита на начало периода]]+Табл1[[#This Row],[Тело кредита]]</f>
        <v>75982.824954290889</v>
      </c>
      <c r="H37" s="23">
        <f>PV($B$10,$B$11-Табл1[[#This Row],[Период (№месяца)]]+1,$C$15,$B$6,$B$12)/IF(Табл1[[#This Row],[Период (№месяца)]]=1,1,1+$B$12*$B$10)</f>
        <v>77432.94031958525</v>
      </c>
      <c r="I37" s="4">
        <f>-FV($B$10,Табл1[[#This Row],[Период (№месяца)]],$C$15,$B$5,$B$12)/(1+$B$12*$B$10)</f>
        <v>75982.824954290845</v>
      </c>
      <c r="K37" s="30">
        <v>18</v>
      </c>
      <c r="L37" s="32">
        <f t="shared" si="4"/>
        <v>77432.940319585221</v>
      </c>
      <c r="M37" s="32">
        <f t="shared" si="3"/>
        <v>2224.4447684901761</v>
      </c>
      <c r="N37" s="32">
        <f t="shared" si="5"/>
        <v>774.32940319585225</v>
      </c>
      <c r="O37" s="32">
        <f t="shared" si="6"/>
        <v>1450.115365294324</v>
      </c>
      <c r="P37" s="32">
        <f t="shared" si="7"/>
        <v>75982.824954290903</v>
      </c>
    </row>
    <row r="38" spans="1:16" x14ac:dyDescent="0.25">
      <c r="A38" s="3">
        <f>IF(ROW()-ROW(Табл1[[#Headers],[Период (№месяца)]])&gt;$B$11,0,ROW()-ROW(Табл1[[#Headers],[Период (№месяца)]]))</f>
        <v>19</v>
      </c>
      <c r="B38" s="4">
        <f>$B$5+SUM($D$19:D37)</f>
        <v>75982.824954290903</v>
      </c>
      <c r="C38" s="4">
        <f t="shared" si="0"/>
        <v>-2224.4447684901775</v>
      </c>
      <c r="D38" s="4">
        <f t="shared" si="1"/>
        <v>-1464.6165189472686</v>
      </c>
      <c r="E38" s="4">
        <f t="shared" si="2"/>
        <v>-759.82824954290891</v>
      </c>
      <c r="F38" s="4">
        <f>SUM($D$20:D38)</f>
        <v>-25481.791564656371</v>
      </c>
      <c r="G38" s="4">
        <f>Табл1[[#This Row],[Тело кредита на начало периода]]+Табл1[[#This Row],[Тело кредита]]</f>
        <v>74518.208435343637</v>
      </c>
      <c r="H38" s="23">
        <f>PV($B$10,$B$11-Табл1[[#This Row],[Период (№месяца)]]+1,$C$15,$B$6,$B$12)/IF(Табл1[[#This Row],[Период (№месяца)]]=1,1,1+$B$12*$B$10)</f>
        <v>75982.824954290976</v>
      </c>
      <c r="I38" s="4">
        <f>-FV($B$10,Табл1[[#This Row],[Период (№месяца)]],$C$15,$B$5,$B$12)/(1+$B$12*$B$10)</f>
        <v>74518.208435343622</v>
      </c>
      <c r="K38" s="30">
        <v>19</v>
      </c>
      <c r="L38" s="32">
        <f t="shared" si="4"/>
        <v>75982.824954290903</v>
      </c>
      <c r="M38" s="32">
        <f t="shared" si="3"/>
        <v>2224.4447684901761</v>
      </c>
      <c r="N38" s="32">
        <f t="shared" si="5"/>
        <v>759.82824954290902</v>
      </c>
      <c r="O38" s="32">
        <f t="shared" si="6"/>
        <v>1464.6165189472672</v>
      </c>
      <c r="P38" s="32">
        <f t="shared" si="7"/>
        <v>74518.208435343637</v>
      </c>
    </row>
    <row r="39" spans="1:16" x14ac:dyDescent="0.25">
      <c r="A39" s="3">
        <f>IF(ROW()-ROW(Табл1[[#Headers],[Период (№месяца)]])&gt;$B$11,0,ROW()-ROW(Табл1[[#Headers],[Период (№месяца)]]))</f>
        <v>20</v>
      </c>
      <c r="B39" s="4">
        <f>$B$5+SUM($D$19:D38)</f>
        <v>74518.208435343637</v>
      </c>
      <c r="C39" s="4">
        <f t="shared" si="0"/>
        <v>-2224.4447684901775</v>
      </c>
      <c r="D39" s="4">
        <f t="shared" si="1"/>
        <v>-1479.2626841367412</v>
      </c>
      <c r="E39" s="4">
        <f t="shared" si="2"/>
        <v>-745.18208435343627</v>
      </c>
      <c r="F39" s="4">
        <f>SUM($D$20:D39)</f>
        <v>-26961.054248793112</v>
      </c>
      <c r="G39" s="4">
        <f>Табл1[[#This Row],[Тело кредита на начало периода]]+Табл1[[#This Row],[Тело кредита]]</f>
        <v>73038.945751206891</v>
      </c>
      <c r="H39" s="23">
        <f>PV($B$10,$B$11-Табл1[[#This Row],[Период (№месяца)]]+1,$C$15,$B$6,$B$12)/IF(Табл1[[#This Row],[Период (№месяца)]]=1,1,1+$B$12*$B$10)</f>
        <v>74518.208435343695</v>
      </c>
      <c r="I39" s="4">
        <f>-FV($B$10,Табл1[[#This Row],[Период (№месяца)]],$C$15,$B$5,$B$12)/(1+$B$12*$B$10)</f>
        <v>73038.945751206862</v>
      </c>
      <c r="K39" s="30">
        <v>20</v>
      </c>
      <c r="L39" s="32">
        <f t="shared" si="4"/>
        <v>74518.208435343637</v>
      </c>
      <c r="M39" s="32">
        <f t="shared" si="3"/>
        <v>2224.4447684901761</v>
      </c>
      <c r="N39" s="32">
        <f t="shared" si="5"/>
        <v>745.18208435343638</v>
      </c>
      <c r="O39" s="32">
        <f t="shared" si="6"/>
        <v>1479.2626841367396</v>
      </c>
      <c r="P39" s="32">
        <f t="shared" si="7"/>
        <v>73038.945751206891</v>
      </c>
    </row>
    <row r="40" spans="1:16" x14ac:dyDescent="0.25">
      <c r="A40" s="3">
        <f>IF(ROW()-ROW(Табл1[[#Headers],[Период (№месяца)]])&gt;$B$11,0,ROW()-ROW(Табл1[[#Headers],[Период (№месяца)]]))</f>
        <v>21</v>
      </c>
      <c r="B40" s="4">
        <f>$B$5+SUM($D$19:D39)</f>
        <v>73038.945751206891</v>
      </c>
      <c r="C40" s="4">
        <f t="shared" si="0"/>
        <v>-2224.4447684901775</v>
      </c>
      <c r="D40" s="4">
        <f t="shared" si="1"/>
        <v>-1494.0553109781085</v>
      </c>
      <c r="E40" s="4">
        <f t="shared" si="2"/>
        <v>-730.38945751206859</v>
      </c>
      <c r="F40" s="4">
        <f>SUM($D$20:D40)</f>
        <v>-28455.109559771219</v>
      </c>
      <c r="G40" s="4">
        <f>Табл1[[#This Row],[Тело кредита на начало периода]]+Табл1[[#This Row],[Тело кредита]]</f>
        <v>71544.890440228788</v>
      </c>
      <c r="H40" s="23">
        <f>PV($B$10,$B$11-Табл1[[#This Row],[Период (№месяца)]]+1,$C$15,$B$6,$B$12)/IF(Табл1[[#This Row],[Период (№месяца)]]=1,1,1+$B$12*$B$10)</f>
        <v>73038.945751206935</v>
      </c>
      <c r="I40" s="4">
        <f>-FV($B$10,Табл1[[#This Row],[Период (№месяца)]],$C$15,$B$5,$B$12)/(1+$B$12*$B$10)</f>
        <v>71544.890440228774</v>
      </c>
      <c r="K40" s="30">
        <v>21</v>
      </c>
      <c r="L40" s="32">
        <f t="shared" si="4"/>
        <v>73038.945751206891</v>
      </c>
      <c r="M40" s="32">
        <f t="shared" si="3"/>
        <v>2224.4447684901761</v>
      </c>
      <c r="N40" s="32">
        <f t="shared" si="5"/>
        <v>730.38945751206893</v>
      </c>
      <c r="O40" s="32">
        <f t="shared" si="6"/>
        <v>1494.0553109781072</v>
      </c>
      <c r="P40" s="32">
        <f t="shared" si="7"/>
        <v>71544.890440228788</v>
      </c>
    </row>
    <row r="41" spans="1:16" x14ac:dyDescent="0.25">
      <c r="A41" s="3">
        <f>IF(ROW()-ROW(Табл1[[#Headers],[Период (№месяца)]])&gt;$B$11,0,ROW()-ROW(Табл1[[#Headers],[Период (№месяца)]]))</f>
        <v>22</v>
      </c>
      <c r="B41" s="4">
        <f>$B$5+SUM($D$19:D40)</f>
        <v>71544.890440228774</v>
      </c>
      <c r="C41" s="4">
        <f t="shared" si="0"/>
        <v>-2224.4447684901775</v>
      </c>
      <c r="D41" s="4">
        <f t="shared" si="1"/>
        <v>-1508.9958640878899</v>
      </c>
      <c r="E41" s="4">
        <f t="shared" si="2"/>
        <v>-715.44890440228778</v>
      </c>
      <c r="F41" s="4">
        <f>SUM($D$20:D41)</f>
        <v>-29964.10542385911</v>
      </c>
      <c r="G41" s="4">
        <f>Табл1[[#This Row],[Тело кредита на начало периода]]+Табл1[[#This Row],[Тело кредита]]</f>
        <v>70035.894576140883</v>
      </c>
      <c r="H41" s="23">
        <f>PV($B$10,$B$11-Табл1[[#This Row],[Период (№месяца)]]+1,$C$15,$B$6,$B$12)/IF(Табл1[[#This Row],[Период (№месяца)]]=1,1,1+$B$12*$B$10)</f>
        <v>71544.890440228788</v>
      </c>
      <c r="I41" s="4">
        <f>-FV($B$10,Табл1[[#This Row],[Период (№месяца)]],$C$15,$B$5,$B$12)/(1+$B$12*$B$10)</f>
        <v>70035.894576140839</v>
      </c>
      <c r="K41" s="30">
        <v>22</v>
      </c>
      <c r="L41" s="32">
        <f t="shared" si="4"/>
        <v>71544.890440228788</v>
      </c>
      <c r="M41" s="32">
        <f t="shared" si="3"/>
        <v>2224.4447684901761</v>
      </c>
      <c r="N41" s="32">
        <f t="shared" si="5"/>
        <v>715.44890440228789</v>
      </c>
      <c r="O41" s="32">
        <f t="shared" si="6"/>
        <v>1508.9958640878881</v>
      </c>
      <c r="P41" s="32">
        <f t="shared" si="7"/>
        <v>70035.894576140898</v>
      </c>
    </row>
    <row r="42" spans="1:16" x14ac:dyDescent="0.25">
      <c r="A42" s="3">
        <f>IF(ROW()-ROW(Табл1[[#Headers],[Период (№месяца)]])&gt;$B$11,0,ROW()-ROW(Табл1[[#Headers],[Период (№месяца)]]))</f>
        <v>23</v>
      </c>
      <c r="B42" s="4">
        <f>$B$5+SUM($D$19:D41)</f>
        <v>70035.894576140883</v>
      </c>
      <c r="C42" s="4">
        <f t="shared" si="0"/>
        <v>-2224.4447684901775</v>
      </c>
      <c r="D42" s="4">
        <f t="shared" si="1"/>
        <v>-1524.0858227287688</v>
      </c>
      <c r="E42" s="4">
        <f t="shared" si="2"/>
        <v>-700.35894576140868</v>
      </c>
      <c r="F42" s="4">
        <f>SUM($D$20:D42)</f>
        <v>-31488.191246587878</v>
      </c>
      <c r="G42" s="4">
        <f>Табл1[[#This Row],[Тело кредита на начало периода]]+Табл1[[#This Row],[Тело кредита]]</f>
        <v>68511.808753412115</v>
      </c>
      <c r="H42" s="23">
        <f>PV($B$10,$B$11-Табл1[[#This Row],[Период (№месяца)]]+1,$C$15,$B$6,$B$12)/IF(Табл1[[#This Row],[Период (№месяца)]]=1,1,1+$B$12*$B$10)</f>
        <v>70035.894576140941</v>
      </c>
      <c r="I42" s="4">
        <f>-FV($B$10,Табл1[[#This Row],[Период (№месяца)]],$C$15,$B$5,$B$12)/(1+$B$12*$B$10)</f>
        <v>68511.808753412086</v>
      </c>
      <c r="K42" s="30">
        <v>23</v>
      </c>
      <c r="L42" s="32">
        <f t="shared" si="4"/>
        <v>70035.894576140898</v>
      </c>
      <c r="M42" s="32">
        <f t="shared" si="3"/>
        <v>2224.4447684901761</v>
      </c>
      <c r="N42" s="32">
        <f t="shared" si="5"/>
        <v>700.35894576140902</v>
      </c>
      <c r="O42" s="32">
        <f t="shared" si="6"/>
        <v>1524.0858227287672</v>
      </c>
      <c r="P42" s="32">
        <f t="shared" si="7"/>
        <v>68511.80875341213</v>
      </c>
    </row>
    <row r="43" spans="1:16" x14ac:dyDescent="0.25">
      <c r="A43" s="3">
        <f>IF(ROW()-ROW(Табл1[[#Headers],[Период (№месяца)]])&gt;$B$11,0,ROW()-ROW(Табл1[[#Headers],[Период (№месяца)]]))</f>
        <v>24</v>
      </c>
      <c r="B43" s="4">
        <f>$B$5+SUM($D$19:D42)</f>
        <v>68511.80875341213</v>
      </c>
      <c r="C43" s="4">
        <f t="shared" si="0"/>
        <v>-2224.4447684901775</v>
      </c>
      <c r="D43" s="4">
        <f t="shared" si="1"/>
        <v>-1539.3266809560562</v>
      </c>
      <c r="E43" s="4">
        <f t="shared" si="2"/>
        <v>-685.11808753412117</v>
      </c>
      <c r="F43" s="4">
        <f>SUM($D$20:D43)</f>
        <v>-33027.517927543937</v>
      </c>
      <c r="G43" s="4">
        <f>Табл1[[#This Row],[Тело кредита на начало периода]]+Табл1[[#This Row],[Тело кредита]]</f>
        <v>66972.48207245607</v>
      </c>
      <c r="H43" s="23">
        <f>PV($B$10,$B$11-Табл1[[#This Row],[Период (№месяца)]]+1,$C$15,$B$6,$B$12)/IF(Табл1[[#This Row],[Период (№месяца)]]=1,1,1+$B$12*$B$10)</f>
        <v>68511.808753412159</v>
      </c>
      <c r="I43" s="4">
        <f>-FV($B$10,Табл1[[#This Row],[Период (№месяца)]],$C$15,$B$5,$B$12)/(1+$B$12*$B$10)</f>
        <v>66972.482072455998</v>
      </c>
      <c r="K43" s="30">
        <v>24</v>
      </c>
      <c r="L43" s="32">
        <f t="shared" si="4"/>
        <v>68511.80875341213</v>
      </c>
      <c r="M43" s="32">
        <f t="shared" si="3"/>
        <v>2224.4447684901761</v>
      </c>
      <c r="N43" s="32">
        <f t="shared" si="5"/>
        <v>685.11808753412129</v>
      </c>
      <c r="O43" s="32">
        <f t="shared" si="6"/>
        <v>1539.3266809560548</v>
      </c>
      <c r="P43" s="32">
        <f t="shared" si="7"/>
        <v>66972.48207245607</v>
      </c>
    </row>
    <row r="44" spans="1:16" x14ac:dyDescent="0.25">
      <c r="A44" s="3">
        <f>IF(ROW()-ROW(Табл1[[#Headers],[Период (№месяца)]])&gt;$B$11,0,ROW()-ROW(Табл1[[#Headers],[Период (№месяца)]]))</f>
        <v>25</v>
      </c>
      <c r="B44" s="4">
        <f>$B$5+SUM($D$19:D43)</f>
        <v>66972.48207245607</v>
      </c>
      <c r="C44" s="4">
        <f t="shared" si="0"/>
        <v>-2224.4447684901775</v>
      </c>
      <c r="D44" s="4">
        <f t="shared" si="1"/>
        <v>-1554.7199477656168</v>
      </c>
      <c r="E44" s="4">
        <f t="shared" si="2"/>
        <v>-669.72482072456046</v>
      </c>
      <c r="F44" s="4">
        <f>SUM($D$20:D44)</f>
        <v>-34582.237875309555</v>
      </c>
      <c r="G44" s="4">
        <f>Табл1[[#This Row],[Тело кредита на начало периода]]+Табл1[[#This Row],[Тело кредита]]</f>
        <v>65417.762124690453</v>
      </c>
      <c r="H44" s="23">
        <f>PV($B$10,$B$11-Табл1[[#This Row],[Период (№месяца)]]+1,$C$15,$B$6,$B$12)/IF(Табл1[[#This Row],[Период (№месяца)]]=1,1,1+$B$12*$B$10)</f>
        <v>66972.4820724561</v>
      </c>
      <c r="I44" s="4">
        <f>-FV($B$10,Табл1[[#This Row],[Период (№месяца)]],$C$15,$B$5,$B$12)/(1+$B$12*$B$10)</f>
        <v>65417.762124690373</v>
      </c>
      <c r="K44" s="30">
        <v>25</v>
      </c>
      <c r="L44" s="32">
        <f t="shared" si="4"/>
        <v>66972.48207245607</v>
      </c>
      <c r="M44" s="32">
        <f t="shared" si="3"/>
        <v>2224.4447684901761</v>
      </c>
      <c r="N44" s="32">
        <f t="shared" si="5"/>
        <v>669.72482072456069</v>
      </c>
      <c r="O44" s="32">
        <f t="shared" si="6"/>
        <v>1554.7199477656154</v>
      </c>
      <c r="P44" s="32">
        <f t="shared" si="7"/>
        <v>65417.762124690453</v>
      </c>
    </row>
    <row r="45" spans="1:16" x14ac:dyDescent="0.25">
      <c r="A45" s="3">
        <f>IF(ROW()-ROW(Табл1[[#Headers],[Период (№месяца)]])&gt;$B$11,0,ROW()-ROW(Табл1[[#Headers],[Период (№месяца)]]))</f>
        <v>26</v>
      </c>
      <c r="B45" s="4">
        <f>$B$5+SUM($D$19:D44)</f>
        <v>65417.762124690445</v>
      </c>
      <c r="C45" s="4">
        <f t="shared" si="0"/>
        <v>-2224.4447684901775</v>
      </c>
      <c r="D45" s="4">
        <f t="shared" si="1"/>
        <v>-1570.267147243273</v>
      </c>
      <c r="E45" s="4">
        <f t="shared" si="2"/>
        <v>-654.17762124690421</v>
      </c>
      <c r="F45" s="4">
        <f>SUM($D$20:D45)</f>
        <v>-36152.505022552825</v>
      </c>
      <c r="G45" s="4">
        <f>Табл1[[#This Row],[Тело кредита на начало периода]]+Табл1[[#This Row],[Тело кредита]]</f>
        <v>63847.494977447175</v>
      </c>
      <c r="H45" s="23">
        <f>PV($B$10,$B$11-Табл1[[#This Row],[Период (№месяца)]]+1,$C$15,$B$6,$B$12)/IF(Табл1[[#This Row],[Период (№месяца)]]=1,1,1+$B$12*$B$10)</f>
        <v>65417.762124690467</v>
      </c>
      <c r="I45" s="4">
        <f>-FV($B$10,Табл1[[#This Row],[Период (№месяца)]],$C$15,$B$5,$B$12)/(1+$B$12*$B$10)</f>
        <v>63847.494977447088</v>
      </c>
      <c r="K45" s="30">
        <v>26</v>
      </c>
      <c r="L45" s="32">
        <f t="shared" si="4"/>
        <v>65417.762124690453</v>
      </c>
      <c r="M45" s="32">
        <f t="shared" si="3"/>
        <v>2224.4447684901761</v>
      </c>
      <c r="N45" s="32">
        <f t="shared" si="5"/>
        <v>654.17762124690455</v>
      </c>
      <c r="O45" s="32">
        <f t="shared" si="6"/>
        <v>1570.2671472432717</v>
      </c>
      <c r="P45" s="32">
        <f t="shared" si="7"/>
        <v>63847.494977447182</v>
      </c>
    </row>
    <row r="46" spans="1:16" x14ac:dyDescent="0.25">
      <c r="A46" s="3">
        <f>IF(ROW()-ROW(Табл1[[#Headers],[Период (№месяца)]])&gt;$B$11,0,ROW()-ROW(Табл1[[#Headers],[Период (№месяца)]]))</f>
        <v>27</v>
      </c>
      <c r="B46" s="4">
        <f>$B$5+SUM($D$19:D45)</f>
        <v>63847.494977447175</v>
      </c>
      <c r="C46" s="4">
        <f t="shared" si="0"/>
        <v>-2224.4447684901775</v>
      </c>
      <c r="D46" s="4">
        <f t="shared" si="1"/>
        <v>-1585.9698187157057</v>
      </c>
      <c r="E46" s="4">
        <f t="shared" si="2"/>
        <v>-638.47494977447172</v>
      </c>
      <c r="F46" s="4">
        <f>SUM($D$20:D46)</f>
        <v>-37738.474841268529</v>
      </c>
      <c r="G46" s="4">
        <f>Табл1[[#This Row],[Тело кредита на начало периода]]+Табл1[[#This Row],[Тело кредита]]</f>
        <v>62261.525158731471</v>
      </c>
      <c r="H46" s="23">
        <f>PV($B$10,$B$11-Табл1[[#This Row],[Период (№месяца)]]+1,$C$15,$B$6,$B$12)/IF(Табл1[[#This Row],[Период (№месяца)]]=1,1,1+$B$12*$B$10)</f>
        <v>63847.494977447219</v>
      </c>
      <c r="I46" s="4">
        <f>-FV($B$10,Табл1[[#This Row],[Период (№месяца)]],$C$15,$B$5,$B$12)/(1+$B$12*$B$10)</f>
        <v>62261.525158731441</v>
      </c>
      <c r="K46" s="30">
        <v>27</v>
      </c>
      <c r="L46" s="32">
        <f t="shared" si="4"/>
        <v>63847.494977447182</v>
      </c>
      <c r="M46" s="32">
        <f t="shared" si="3"/>
        <v>2224.4447684901761</v>
      </c>
      <c r="N46" s="32">
        <f t="shared" si="5"/>
        <v>638.47494977447184</v>
      </c>
      <c r="O46" s="32">
        <f t="shared" si="6"/>
        <v>1585.9698187157042</v>
      </c>
      <c r="P46" s="32">
        <f t="shared" si="7"/>
        <v>62261.525158731478</v>
      </c>
    </row>
    <row r="47" spans="1:16" x14ac:dyDescent="0.25">
      <c r="A47" s="3">
        <f>IF(ROW()-ROW(Табл1[[#Headers],[Период (№месяца)]])&gt;$B$11,0,ROW()-ROW(Табл1[[#Headers],[Период (№месяца)]]))</f>
        <v>28</v>
      </c>
      <c r="B47" s="4">
        <f>$B$5+SUM($D$19:D46)</f>
        <v>62261.525158731471</v>
      </c>
      <c r="C47" s="4">
        <f t="shared" si="0"/>
        <v>-2224.4447684901775</v>
      </c>
      <c r="D47" s="4">
        <f t="shared" si="1"/>
        <v>-1601.8295169028629</v>
      </c>
      <c r="E47" s="4">
        <f t="shared" si="2"/>
        <v>-622.61525158731456</v>
      </c>
      <c r="F47" s="4">
        <f>SUM($D$20:D47)</f>
        <v>-39340.304358171394</v>
      </c>
      <c r="G47" s="4">
        <f>Табл1[[#This Row],[Тело кредита на начало периода]]+Табл1[[#This Row],[Тело кредита]]</f>
        <v>60659.695641828606</v>
      </c>
      <c r="H47" s="23">
        <f>PV($B$10,$B$11-Табл1[[#This Row],[Период (№месяца)]]+1,$C$15,$B$6,$B$12)/IF(Табл1[[#This Row],[Период (№месяца)]]=1,1,1+$B$12*$B$10)</f>
        <v>62261.525158731514</v>
      </c>
      <c r="I47" s="4">
        <f>-FV($B$10,Табл1[[#This Row],[Период (№месяца)]],$C$15,$B$5,$B$12)/(1+$B$12*$B$10)</f>
        <v>60659.69564182857</v>
      </c>
      <c r="K47" s="30">
        <v>28</v>
      </c>
      <c r="L47" s="32">
        <f t="shared" si="4"/>
        <v>62261.525158731478</v>
      </c>
      <c r="M47" s="32">
        <f t="shared" si="3"/>
        <v>2224.4447684901761</v>
      </c>
      <c r="N47" s="32">
        <f t="shared" si="5"/>
        <v>622.61525158731479</v>
      </c>
      <c r="O47" s="32">
        <f t="shared" si="6"/>
        <v>1601.8295169028613</v>
      </c>
      <c r="P47" s="32">
        <f t="shared" si="7"/>
        <v>60659.695641828614</v>
      </c>
    </row>
    <row r="48" spans="1:16" x14ac:dyDescent="0.25">
      <c r="A48" s="3">
        <f>IF(ROW()-ROW(Табл1[[#Headers],[Период (№месяца)]])&gt;$B$11,0,ROW()-ROW(Табл1[[#Headers],[Период (№месяца)]]))</f>
        <v>29</v>
      </c>
      <c r="B48" s="4">
        <f>$B$5+SUM($D$19:D47)</f>
        <v>60659.695641828606</v>
      </c>
      <c r="C48" s="4">
        <f t="shared" si="0"/>
        <v>-2224.4447684901775</v>
      </c>
      <c r="D48" s="4">
        <f t="shared" si="1"/>
        <v>-1617.8478120718914</v>
      </c>
      <c r="E48" s="4">
        <f t="shared" si="2"/>
        <v>-606.59695641828591</v>
      </c>
      <c r="F48" s="4">
        <f>SUM($D$20:D48)</f>
        <v>-40958.152170243287</v>
      </c>
      <c r="G48" s="4">
        <f>Табл1[[#This Row],[Тело кредита на начало периода]]+Табл1[[#This Row],[Тело кредита]]</f>
        <v>59041.847829756713</v>
      </c>
      <c r="H48" s="23">
        <f>PV($B$10,$B$11-Табл1[[#This Row],[Период (№месяца)]]+1,$C$15,$B$6,$B$12)/IF(Табл1[[#This Row],[Период (№месяца)]]=1,1,1+$B$12*$B$10)</f>
        <v>60659.695641828643</v>
      </c>
      <c r="I48" s="4">
        <f>-FV($B$10,Табл1[[#This Row],[Период (№месяца)]],$C$15,$B$5,$B$12)/(1+$B$12*$B$10)</f>
        <v>59041.847829756691</v>
      </c>
      <c r="K48" s="30">
        <v>29</v>
      </c>
      <c r="L48" s="32">
        <f t="shared" si="4"/>
        <v>60659.695641828614</v>
      </c>
      <c r="M48" s="32">
        <f t="shared" si="3"/>
        <v>2224.4447684901761</v>
      </c>
      <c r="N48" s="32">
        <f t="shared" si="5"/>
        <v>606.59695641828614</v>
      </c>
      <c r="O48" s="32">
        <f t="shared" si="6"/>
        <v>1617.8478120718901</v>
      </c>
      <c r="P48" s="32">
        <f t="shared" si="7"/>
        <v>59041.84782975672</v>
      </c>
    </row>
    <row r="49" spans="1:16" x14ac:dyDescent="0.25">
      <c r="A49" s="3">
        <f>IF(ROW()-ROW(Табл1[[#Headers],[Период (№месяца)]])&gt;$B$11,0,ROW()-ROW(Табл1[[#Headers],[Период (№месяца)]]))</f>
        <v>30</v>
      </c>
      <c r="B49" s="4">
        <f>$B$5+SUM($D$19:D48)</f>
        <v>59041.847829756713</v>
      </c>
      <c r="C49" s="4">
        <f t="shared" si="0"/>
        <v>-2224.4447684901775</v>
      </c>
      <c r="D49" s="4">
        <f t="shared" si="1"/>
        <v>-1634.0262901926103</v>
      </c>
      <c r="E49" s="4">
        <f t="shared" si="2"/>
        <v>-590.41847829756705</v>
      </c>
      <c r="F49" s="4">
        <f>SUM($D$20:D49)</f>
        <v>-42592.178460435898</v>
      </c>
      <c r="G49" s="4">
        <f>Табл1[[#This Row],[Тело кредита на начало периода]]+Табл1[[#This Row],[Тело кредита]]</f>
        <v>57407.821539564102</v>
      </c>
      <c r="H49" s="23">
        <f>PV($B$10,$B$11-Табл1[[#This Row],[Период (№месяца)]]+1,$C$15,$B$6,$B$12)/IF(Табл1[[#This Row],[Период (№месяца)]]=1,1,1+$B$12*$B$10)</f>
        <v>59041.847829756713</v>
      </c>
      <c r="I49" s="4">
        <f>-FV($B$10,Табл1[[#This Row],[Период (№месяца)]],$C$15,$B$5,$B$12)/(1+$B$12*$B$10)</f>
        <v>57407.821539564015</v>
      </c>
      <c r="K49" s="30">
        <v>30</v>
      </c>
      <c r="L49" s="32">
        <f t="shared" si="4"/>
        <v>59041.84782975672</v>
      </c>
      <c r="M49" s="32">
        <f t="shared" si="3"/>
        <v>2224.4447684901761</v>
      </c>
      <c r="N49" s="32">
        <f t="shared" si="5"/>
        <v>590.41847829756716</v>
      </c>
      <c r="O49" s="32">
        <f t="shared" si="6"/>
        <v>1634.0262901926089</v>
      </c>
      <c r="P49" s="32">
        <f t="shared" si="7"/>
        <v>57407.821539564109</v>
      </c>
    </row>
    <row r="50" spans="1:16" x14ac:dyDescent="0.25">
      <c r="A50" s="3">
        <f>IF(ROW()-ROW(Табл1[[#Headers],[Период (№месяца)]])&gt;$B$11,0,ROW()-ROW(Табл1[[#Headers],[Период (№месяца)]]))</f>
        <v>31</v>
      </c>
      <c r="B50" s="4">
        <f>$B$5+SUM($D$19:D49)</f>
        <v>57407.821539564102</v>
      </c>
      <c r="C50" s="4">
        <f t="shared" si="0"/>
        <v>-2224.4447684901775</v>
      </c>
      <c r="D50" s="4">
        <f t="shared" si="1"/>
        <v>-1650.3665530945364</v>
      </c>
      <c r="E50" s="4">
        <f t="shared" si="2"/>
        <v>-574.07821539564077</v>
      </c>
      <c r="F50" s="4">
        <f>SUM($D$20:D50)</f>
        <v>-44242.545013530435</v>
      </c>
      <c r="G50" s="4">
        <f>Табл1[[#This Row],[Тело кредита на начало периода]]+Табл1[[#This Row],[Тело кредита]]</f>
        <v>55757.454986469565</v>
      </c>
      <c r="H50" s="23">
        <f>PV($B$10,$B$11-Табл1[[#This Row],[Период (№месяца)]]+1,$C$15,$B$6,$B$12)/IF(Табл1[[#This Row],[Период (№месяца)]]=1,1,1+$B$12*$B$10)</f>
        <v>57407.82153956416</v>
      </c>
      <c r="I50" s="4">
        <f>-FV($B$10,Табл1[[#This Row],[Период (№месяца)]],$C$15,$B$5,$B$12)/(1+$B$12*$B$10)</f>
        <v>55757.454986469544</v>
      </c>
      <c r="K50" s="30">
        <v>31</v>
      </c>
      <c r="L50" s="32">
        <f t="shared" si="4"/>
        <v>57407.821539564109</v>
      </c>
      <c r="M50" s="32">
        <f t="shared" si="3"/>
        <v>2224.4447684901761</v>
      </c>
      <c r="N50" s="32">
        <f t="shared" si="5"/>
        <v>574.07821539564111</v>
      </c>
      <c r="O50" s="32">
        <f t="shared" si="6"/>
        <v>1650.366553094535</v>
      </c>
      <c r="P50" s="32">
        <f t="shared" si="7"/>
        <v>55757.454986469573</v>
      </c>
    </row>
    <row r="51" spans="1:16" x14ac:dyDescent="0.25">
      <c r="A51" s="3">
        <f>IF(ROW()-ROW(Табл1[[#Headers],[Период (№месяца)]])&gt;$B$11,0,ROW()-ROW(Табл1[[#Headers],[Период (№месяца)]]))</f>
        <v>32</v>
      </c>
      <c r="B51" s="4">
        <f>$B$5+SUM($D$19:D50)</f>
        <v>55757.454986469565</v>
      </c>
      <c r="C51" s="4">
        <f t="shared" si="0"/>
        <v>-2224.4447684901775</v>
      </c>
      <c r="D51" s="4">
        <f t="shared" si="1"/>
        <v>-1666.8702186254816</v>
      </c>
      <c r="E51" s="4">
        <f t="shared" si="2"/>
        <v>-557.57454986469554</v>
      </c>
      <c r="F51" s="4">
        <f>SUM($D$20:D51)</f>
        <v>-45909.415232155916</v>
      </c>
      <c r="G51" s="4">
        <f>Табл1[[#This Row],[Тело кредита на начало периода]]+Табл1[[#This Row],[Тело кредита]]</f>
        <v>54090.584767844084</v>
      </c>
      <c r="H51" s="23">
        <f>PV($B$10,$B$11-Табл1[[#This Row],[Период (№месяца)]]+1,$C$15,$B$6,$B$12)/IF(Табл1[[#This Row],[Период (№месяца)]]=1,1,1+$B$12*$B$10)</f>
        <v>55757.45498646958</v>
      </c>
      <c r="I51" s="4">
        <f>-FV($B$10,Табл1[[#This Row],[Период (№месяца)]],$C$15,$B$5,$B$12)/(1+$B$12*$B$10)</f>
        <v>54090.584767844033</v>
      </c>
      <c r="K51" s="30">
        <v>32</v>
      </c>
      <c r="L51" s="32">
        <f t="shared" si="4"/>
        <v>55757.454986469573</v>
      </c>
      <c r="M51" s="32">
        <f t="shared" si="3"/>
        <v>2224.4447684901761</v>
      </c>
      <c r="N51" s="32">
        <f t="shared" si="5"/>
        <v>557.57454986469577</v>
      </c>
      <c r="O51" s="32">
        <f t="shared" si="6"/>
        <v>1666.8702186254804</v>
      </c>
      <c r="P51" s="32">
        <f t="shared" si="7"/>
        <v>54090.584767844091</v>
      </c>
    </row>
    <row r="52" spans="1:16" x14ac:dyDescent="0.25">
      <c r="A52" s="3">
        <f>IF(ROW()-ROW(Табл1[[#Headers],[Период (№месяца)]])&gt;$B$11,0,ROW()-ROW(Табл1[[#Headers],[Период (№месяца)]]))</f>
        <v>33</v>
      </c>
      <c r="B52" s="4">
        <f>$B$5+SUM($D$19:D51)</f>
        <v>54090.584767844084</v>
      </c>
      <c r="C52" s="4">
        <f t="shared" ref="C52:C79" si="8">PMT($B$10,$B$11,$B$5,$B$6,$B$12)</f>
        <v>-2224.4447684901775</v>
      </c>
      <c r="D52" s="4">
        <f t="shared" ref="D52:D79" si="9">PPMT($B$10,A52,$B$11,$B$5,$B$6,$B$12)</f>
        <v>-1683.5389208117363</v>
      </c>
      <c r="E52" s="4">
        <f t="shared" ref="E52:E79" si="10">IPMT($B$10,A52,$B$11,$B$5,$B$6,$B$12)</f>
        <v>-540.90584767844075</v>
      </c>
      <c r="F52" s="4">
        <f>SUM($D$20:D52)</f>
        <v>-47592.95415296765</v>
      </c>
      <c r="G52" s="4">
        <f>Табл1[[#This Row],[Тело кредита на начало периода]]+Табл1[[#This Row],[Тело кредита]]</f>
        <v>52407.04584703235</v>
      </c>
      <c r="H52" s="23">
        <f>PV($B$10,$B$11-Табл1[[#This Row],[Период (№месяца)]]+1,$C$15,$B$6,$B$12)/IF(Табл1[[#This Row],[Период (№месяца)]]=1,1,1+$B$12*$B$10)</f>
        <v>54090.584767844106</v>
      </c>
      <c r="I52" s="4">
        <f>-FV($B$10,Табл1[[#This Row],[Период (№месяца)]],$C$15,$B$5,$B$12)/(1+$B$12*$B$10)</f>
        <v>52407.045847032277</v>
      </c>
      <c r="K52" s="30">
        <v>33</v>
      </c>
      <c r="L52" s="32">
        <f t="shared" si="4"/>
        <v>54090.584767844091</v>
      </c>
      <c r="M52" s="32">
        <f t="shared" si="3"/>
        <v>2224.4447684901761</v>
      </c>
      <c r="N52" s="32">
        <f t="shared" si="5"/>
        <v>540.90584767844098</v>
      </c>
      <c r="O52" s="32">
        <f t="shared" si="6"/>
        <v>1683.5389208117351</v>
      </c>
      <c r="P52" s="32">
        <f t="shared" si="7"/>
        <v>52407.045847032357</v>
      </c>
    </row>
    <row r="53" spans="1:16" x14ac:dyDescent="0.25">
      <c r="A53" s="3">
        <f>IF(ROW()-ROW(Табл1[[#Headers],[Период (№месяца)]])&gt;$B$11,0,ROW()-ROW(Табл1[[#Headers],[Период (№месяца)]]))</f>
        <v>34</v>
      </c>
      <c r="B53" s="4">
        <f>$B$5+SUM($D$19:D52)</f>
        <v>52407.04584703235</v>
      </c>
      <c r="C53" s="4">
        <f t="shared" si="8"/>
        <v>-2224.4447684901775</v>
      </c>
      <c r="D53" s="4">
        <f t="shared" si="9"/>
        <v>-1700.3743100198542</v>
      </c>
      <c r="E53" s="4">
        <f t="shared" si="10"/>
        <v>-524.07045847032327</v>
      </c>
      <c r="F53" s="4">
        <f>SUM($D$20:D53)</f>
        <v>-49293.328462987505</v>
      </c>
      <c r="G53" s="4">
        <f>Табл1[[#This Row],[Тело кредита на начало периода]]+Табл1[[#This Row],[Тело кредита]]</f>
        <v>50706.671537012495</v>
      </c>
      <c r="H53" s="23">
        <f>PV($B$10,$B$11-Табл1[[#This Row],[Период (№месяца)]]+1,$C$15,$B$6,$B$12)/IF(Табл1[[#This Row],[Период (№месяца)]]=1,1,1+$B$12*$B$10)</f>
        <v>52407.04584703235</v>
      </c>
      <c r="I53" s="4">
        <f>-FV($B$10,Табл1[[#This Row],[Период (№месяца)]],$C$15,$B$5,$B$12)/(1+$B$12*$B$10)</f>
        <v>50706.671537012415</v>
      </c>
      <c r="K53" s="30">
        <v>34</v>
      </c>
      <c r="L53" s="32">
        <f t="shared" si="4"/>
        <v>52407.045847032357</v>
      </c>
      <c r="M53" s="32">
        <f t="shared" si="3"/>
        <v>2224.4447684901761</v>
      </c>
      <c r="N53" s="32">
        <f t="shared" si="5"/>
        <v>524.07045847032362</v>
      </c>
      <c r="O53" s="32">
        <f t="shared" si="6"/>
        <v>1700.3743100198526</v>
      </c>
      <c r="P53" s="32">
        <f t="shared" si="7"/>
        <v>50706.671537012502</v>
      </c>
    </row>
    <row r="54" spans="1:16" x14ac:dyDescent="0.25">
      <c r="A54" s="3">
        <f>IF(ROW()-ROW(Табл1[[#Headers],[Период (№месяца)]])&gt;$B$11,0,ROW()-ROW(Табл1[[#Headers],[Период (№месяца)]]))</f>
        <v>35</v>
      </c>
      <c r="B54" s="4">
        <f>$B$5+SUM($D$19:D53)</f>
        <v>50706.671537012495</v>
      </c>
      <c r="C54" s="4">
        <f t="shared" si="8"/>
        <v>-2224.4447684901775</v>
      </c>
      <c r="D54" s="4">
        <f t="shared" si="9"/>
        <v>-1717.3780531200525</v>
      </c>
      <c r="E54" s="4">
        <f t="shared" si="10"/>
        <v>-507.06671537012488</v>
      </c>
      <c r="F54" s="4">
        <f>SUM($D$20:D54)</f>
        <v>-51010.706516107559</v>
      </c>
      <c r="G54" s="4">
        <f>Табл1[[#This Row],[Тело кредита на начало периода]]+Табл1[[#This Row],[Тело кредита]]</f>
        <v>48989.293483892441</v>
      </c>
      <c r="H54" s="23">
        <f>PV($B$10,$B$11-Табл1[[#This Row],[Период (№месяца)]]+1,$C$15,$B$6,$B$12)/IF(Табл1[[#This Row],[Период (№месяца)]]=1,1,1+$B$12*$B$10)</f>
        <v>50706.671537012553</v>
      </c>
      <c r="I54" s="4">
        <f>-FV($B$10,Табл1[[#This Row],[Период (№месяца)]],$C$15,$B$5,$B$12)/(1+$B$12*$B$10)</f>
        <v>48989.293483892397</v>
      </c>
      <c r="K54" s="30">
        <v>35</v>
      </c>
      <c r="L54" s="32">
        <f t="shared" si="4"/>
        <v>50706.671537012502</v>
      </c>
      <c r="M54" s="32">
        <f t="shared" si="3"/>
        <v>2224.4447684901761</v>
      </c>
      <c r="N54" s="32">
        <f t="shared" si="5"/>
        <v>507.06671537012505</v>
      </c>
      <c r="O54" s="32">
        <f t="shared" si="6"/>
        <v>1717.3780531200509</v>
      </c>
      <c r="P54" s="32">
        <f t="shared" si="7"/>
        <v>48989.293483892448</v>
      </c>
    </row>
    <row r="55" spans="1:16" x14ac:dyDescent="0.25">
      <c r="A55" s="3">
        <f>IF(ROW()-ROW(Табл1[[#Headers],[Период (№месяца)]])&gt;$B$11,0,ROW()-ROW(Табл1[[#Headers],[Период (№месяца)]]))</f>
        <v>36</v>
      </c>
      <c r="B55" s="4">
        <f>$B$5+SUM($D$19:D54)</f>
        <v>48989.293483892441</v>
      </c>
      <c r="C55" s="4">
        <f t="shared" si="8"/>
        <v>-2224.4447684901775</v>
      </c>
      <c r="D55" s="4">
        <f t="shared" si="9"/>
        <v>-1734.551833651253</v>
      </c>
      <c r="E55" s="4">
        <f t="shared" si="10"/>
        <v>-489.89293483892425</v>
      </c>
      <c r="F55" s="4">
        <f>SUM($D$20:D55)</f>
        <v>-52745.258349758813</v>
      </c>
      <c r="G55" s="4">
        <f>Табл1[[#This Row],[Тело кредита на начало периода]]+Табл1[[#This Row],[Тело кредита]]</f>
        <v>47254.741650241187</v>
      </c>
      <c r="H55" s="23">
        <f>PV($B$10,$B$11-Табл1[[#This Row],[Период (№месяца)]]+1,$C$15,$B$6,$B$12)/IF(Табл1[[#This Row],[Период (№месяца)]]=1,1,1+$B$12*$B$10)</f>
        <v>48989.293483892499</v>
      </c>
      <c r="I55" s="4">
        <f>-FV($B$10,Табл1[[#This Row],[Период (№месяца)]],$C$15,$B$5,$B$12)/(1+$B$12*$B$10)</f>
        <v>47254.741650241107</v>
      </c>
      <c r="K55" s="30">
        <v>36</v>
      </c>
      <c r="L55" s="32">
        <f t="shared" si="4"/>
        <v>48989.293483892448</v>
      </c>
      <c r="M55" s="32">
        <f t="shared" si="3"/>
        <v>2224.4447684901761</v>
      </c>
      <c r="N55" s="32">
        <f t="shared" si="5"/>
        <v>489.89293483892448</v>
      </c>
      <c r="O55" s="32">
        <f t="shared" si="6"/>
        <v>1734.5518336512516</v>
      </c>
      <c r="P55" s="32">
        <f t="shared" si="7"/>
        <v>47254.741650241194</v>
      </c>
    </row>
    <row r="56" spans="1:16" x14ac:dyDescent="0.25">
      <c r="A56" s="3">
        <f>IF(ROW()-ROW(Табл1[[#Headers],[Период (№месяца)]])&gt;$B$11,0,ROW()-ROW(Табл1[[#Headers],[Период (№месяца)]]))</f>
        <v>37</v>
      </c>
      <c r="B56" s="4">
        <f>$B$5+SUM($D$19:D55)</f>
        <v>47254.741650241187</v>
      </c>
      <c r="C56" s="4">
        <f t="shared" si="8"/>
        <v>-2224.4447684901775</v>
      </c>
      <c r="D56" s="4">
        <f t="shared" si="9"/>
        <v>-1751.8973519877657</v>
      </c>
      <c r="E56" s="4">
        <f t="shared" si="10"/>
        <v>-472.54741650241164</v>
      </c>
      <c r="F56" s="4">
        <f>SUM($D$20:D56)</f>
        <v>-54497.155701746582</v>
      </c>
      <c r="G56" s="4">
        <f>Табл1[[#This Row],[Тело кредита на начало периода]]+Табл1[[#This Row],[Тело кредита]]</f>
        <v>45502.844298253418</v>
      </c>
      <c r="H56" s="23">
        <f>PV($B$10,$B$11-Табл1[[#This Row],[Период (№месяца)]]+1,$C$15,$B$6,$B$12)/IF(Табл1[[#This Row],[Период (№месяца)]]=1,1,1+$B$12*$B$10)</f>
        <v>47254.741650241238</v>
      </c>
      <c r="I56" s="4">
        <f>-FV($B$10,Табл1[[#This Row],[Период (№месяца)]],$C$15,$B$5,$B$12)/(1+$B$12*$B$10)</f>
        <v>45502.84429825336</v>
      </c>
      <c r="K56" s="30">
        <v>37</v>
      </c>
      <c r="L56" s="32">
        <f t="shared" si="4"/>
        <v>47254.741650241194</v>
      </c>
      <c r="M56" s="32">
        <f t="shared" si="3"/>
        <v>2224.4447684901761</v>
      </c>
      <c r="N56" s="32">
        <f t="shared" si="5"/>
        <v>472.54741650241198</v>
      </c>
      <c r="O56" s="32">
        <f t="shared" si="6"/>
        <v>1751.8973519877641</v>
      </c>
      <c r="P56" s="32">
        <f t="shared" si="7"/>
        <v>45502.844298253432</v>
      </c>
    </row>
    <row r="57" spans="1:16" x14ac:dyDescent="0.25">
      <c r="A57" s="3">
        <f>IF(ROW()-ROW(Табл1[[#Headers],[Период (№месяца)]])&gt;$B$11,0,ROW()-ROW(Табл1[[#Headers],[Период (№месяца)]]))</f>
        <v>38</v>
      </c>
      <c r="B57" s="4">
        <f>$B$5+SUM($D$19:D56)</f>
        <v>45502.844298253418</v>
      </c>
      <c r="C57" s="4">
        <f t="shared" si="8"/>
        <v>-2224.4447684901775</v>
      </c>
      <c r="D57" s="4">
        <f t="shared" si="9"/>
        <v>-1769.416325507643</v>
      </c>
      <c r="E57" s="4">
        <f t="shared" si="10"/>
        <v>-455.02844298253405</v>
      </c>
      <c r="F57" s="4">
        <f>SUM($D$20:D57)</f>
        <v>-56266.572027254224</v>
      </c>
      <c r="G57" s="4">
        <f>Табл1[[#This Row],[Тело кредита на начало периода]]+Табл1[[#This Row],[Тело кредита]]</f>
        <v>43733.427972745776</v>
      </c>
      <c r="H57" s="23">
        <f>PV($B$10,$B$11-Табл1[[#This Row],[Период (№месяца)]]+1,$C$15,$B$6,$B$12)/IF(Табл1[[#This Row],[Период (№месяца)]]=1,1,1+$B$12*$B$10)</f>
        <v>45502.844298253432</v>
      </c>
      <c r="I57" s="4">
        <f>-FV($B$10,Табл1[[#This Row],[Период (№месяца)]],$C$15,$B$5,$B$12)/(1+$B$12*$B$10)</f>
        <v>43733.427972745703</v>
      </c>
      <c r="K57" s="30">
        <v>38</v>
      </c>
      <c r="L57" s="32">
        <f t="shared" si="4"/>
        <v>45502.844298253432</v>
      </c>
      <c r="M57" s="32">
        <f t="shared" si="3"/>
        <v>2224.4447684901761</v>
      </c>
      <c r="N57" s="32">
        <f t="shared" si="5"/>
        <v>455.02844298253433</v>
      </c>
      <c r="O57" s="32">
        <f t="shared" si="6"/>
        <v>1769.4163255076419</v>
      </c>
      <c r="P57" s="32">
        <f t="shared" si="7"/>
        <v>43733.427972745791</v>
      </c>
    </row>
    <row r="58" spans="1:16" x14ac:dyDescent="0.25">
      <c r="A58" s="3">
        <f>IF(ROW()-ROW(Табл1[[#Headers],[Период (№месяца)]])&gt;$B$11,0,ROW()-ROW(Табл1[[#Headers],[Период (№месяца)]]))</f>
        <v>39</v>
      </c>
      <c r="B58" s="4">
        <f>$B$5+SUM($D$19:D57)</f>
        <v>43733.427972745776</v>
      </c>
      <c r="C58" s="4">
        <f t="shared" si="8"/>
        <v>-2224.4447684901775</v>
      </c>
      <c r="D58" s="4">
        <f t="shared" si="9"/>
        <v>-1787.1104887627196</v>
      </c>
      <c r="E58" s="4">
        <f t="shared" si="10"/>
        <v>-437.33427972745767</v>
      </c>
      <c r="F58" s="4">
        <f>SUM($D$20:D58)</f>
        <v>-58053.682516016946</v>
      </c>
      <c r="G58" s="4">
        <f>Табл1[[#This Row],[Тело кредита на начало периода]]+Табл1[[#This Row],[Тело кредита]]</f>
        <v>41946.317483983054</v>
      </c>
      <c r="H58" s="23">
        <f>PV($B$10,$B$11-Табл1[[#This Row],[Период (№месяца)]]+1,$C$15,$B$6,$B$12)/IF(Табл1[[#This Row],[Период (№месяца)]]=1,1,1+$B$12*$B$10)</f>
        <v>43733.427972745812</v>
      </c>
      <c r="I58" s="4">
        <f>-FV($B$10,Табл1[[#This Row],[Период (№месяца)]],$C$15,$B$5,$B$12)/(1+$B$12*$B$10)</f>
        <v>41946.317483983032</v>
      </c>
      <c r="K58" s="30">
        <v>39</v>
      </c>
      <c r="L58" s="32">
        <f t="shared" si="4"/>
        <v>43733.427972745791</v>
      </c>
      <c r="M58" s="32">
        <f t="shared" si="3"/>
        <v>2224.4447684901761</v>
      </c>
      <c r="N58" s="32">
        <f t="shared" si="5"/>
        <v>437.3342797274579</v>
      </c>
      <c r="O58" s="32">
        <f t="shared" si="6"/>
        <v>1787.1104887627182</v>
      </c>
      <c r="P58" s="32">
        <f t="shared" si="7"/>
        <v>41946.317483983075</v>
      </c>
    </row>
    <row r="59" spans="1:16" x14ac:dyDescent="0.25">
      <c r="A59" s="3">
        <f>IF(ROW()-ROW(Табл1[[#Headers],[Период (№месяца)]])&gt;$B$11,0,ROW()-ROW(Табл1[[#Headers],[Период (№месяца)]]))</f>
        <v>40</v>
      </c>
      <c r="B59" s="4">
        <f>$B$5+SUM($D$19:D58)</f>
        <v>41946.317483983054</v>
      </c>
      <c r="C59" s="4">
        <f t="shared" si="8"/>
        <v>-2224.4447684901775</v>
      </c>
      <c r="D59" s="4">
        <f t="shared" si="9"/>
        <v>-1804.9815936503469</v>
      </c>
      <c r="E59" s="4">
        <f t="shared" si="10"/>
        <v>-419.4631748398304</v>
      </c>
      <c r="F59" s="4">
        <f>SUM($D$20:D59)</f>
        <v>-59858.66410966729</v>
      </c>
      <c r="G59" s="4">
        <f>Табл1[[#This Row],[Тело кредита на начало периода]]+Табл1[[#This Row],[Тело кредита]]</f>
        <v>40141.33589033271</v>
      </c>
      <c r="H59" s="23">
        <f>PV($B$10,$B$11-Табл1[[#This Row],[Период (№месяца)]]+1,$C$15,$B$6,$B$12)/IF(Табл1[[#This Row],[Период (№месяца)]]=1,1,1+$B$12*$B$10)</f>
        <v>41946.317483983054</v>
      </c>
      <c r="I59" s="4">
        <f>-FV($B$10,Табл1[[#This Row],[Период (№месяца)]],$C$15,$B$5,$B$12)/(1+$B$12*$B$10)</f>
        <v>40141.335890332644</v>
      </c>
      <c r="K59" s="30">
        <v>40</v>
      </c>
      <c r="L59" s="32">
        <f t="shared" si="4"/>
        <v>41946.317483983075</v>
      </c>
      <c r="M59" s="32">
        <f t="shared" si="3"/>
        <v>2224.4447684901761</v>
      </c>
      <c r="N59" s="32">
        <f t="shared" si="5"/>
        <v>419.46317483983074</v>
      </c>
      <c r="O59" s="32">
        <f t="shared" si="6"/>
        <v>1804.9815936503453</v>
      </c>
      <c r="P59" s="32">
        <f t="shared" si="7"/>
        <v>40141.335890332732</v>
      </c>
    </row>
    <row r="60" spans="1:16" x14ac:dyDescent="0.25">
      <c r="A60" s="3">
        <f>IF(ROW()-ROW(Табл1[[#Headers],[Период (№месяца)]])&gt;$B$11,0,ROW()-ROW(Табл1[[#Headers],[Период (№месяца)]]))</f>
        <v>41</v>
      </c>
      <c r="B60" s="4">
        <f>$B$5+SUM($D$19:D59)</f>
        <v>40141.33589033271</v>
      </c>
      <c r="C60" s="4">
        <f t="shared" si="8"/>
        <v>-2224.4447684901775</v>
      </c>
      <c r="D60" s="4">
        <f t="shared" si="9"/>
        <v>-1823.0314095868503</v>
      </c>
      <c r="E60" s="4">
        <f t="shared" si="10"/>
        <v>-401.41335890332698</v>
      </c>
      <c r="F60" s="4">
        <f>SUM($D$20:D60)</f>
        <v>-61681.695519254143</v>
      </c>
      <c r="G60" s="4">
        <f>Табл1[[#This Row],[Тело кредита на начало периода]]+Табл1[[#This Row],[Тело кредита]]</f>
        <v>38318.304480745857</v>
      </c>
      <c r="H60" s="23">
        <f>PV($B$10,$B$11-Табл1[[#This Row],[Период (№месяца)]]+1,$C$15,$B$6,$B$12)/IF(Табл1[[#This Row],[Период (№месяца)]]=1,1,1+$B$12*$B$10)</f>
        <v>40141.335890332724</v>
      </c>
      <c r="I60" s="4">
        <f>-FV($B$10,Табл1[[#This Row],[Период (№месяца)]],$C$15,$B$5,$B$12)/(1+$B$12*$B$10)</f>
        <v>38318.304480745763</v>
      </c>
      <c r="K60" s="30">
        <v>41</v>
      </c>
      <c r="L60" s="32">
        <f t="shared" si="4"/>
        <v>40141.335890332732</v>
      </c>
      <c r="M60" s="32">
        <f t="shared" si="3"/>
        <v>2224.4447684901761</v>
      </c>
      <c r="N60" s="32">
        <f t="shared" si="5"/>
        <v>401.41335890332732</v>
      </c>
      <c r="O60" s="32">
        <f t="shared" si="6"/>
        <v>1823.0314095868489</v>
      </c>
      <c r="P60" s="32">
        <f t="shared" si="7"/>
        <v>38318.304480745879</v>
      </c>
    </row>
    <row r="61" spans="1:16" x14ac:dyDescent="0.25">
      <c r="A61" s="3">
        <f>IF(ROW()-ROW(Табл1[[#Headers],[Период (№месяца)]])&gt;$B$11,0,ROW()-ROW(Табл1[[#Headers],[Период (№месяца)]]))</f>
        <v>42</v>
      </c>
      <c r="B61" s="4">
        <f>$B$5+SUM($D$19:D60)</f>
        <v>38318.304480745857</v>
      </c>
      <c r="C61" s="4">
        <f t="shared" si="8"/>
        <v>-2224.4447684901775</v>
      </c>
      <c r="D61" s="4">
        <f t="shared" si="9"/>
        <v>-1841.2617236827186</v>
      </c>
      <c r="E61" s="4">
        <f t="shared" si="10"/>
        <v>-383.18304480745843</v>
      </c>
      <c r="F61" s="4">
        <f>SUM($D$20:D61)</f>
        <v>-63522.957242936864</v>
      </c>
      <c r="G61" s="4">
        <f>Табл1[[#This Row],[Тело кредита на начало периода]]+Табл1[[#This Row],[Тело кредита]]</f>
        <v>36477.042757063136</v>
      </c>
      <c r="H61" s="23">
        <f>PV($B$10,$B$11-Табл1[[#This Row],[Период (№месяца)]]+1,$C$15,$B$6,$B$12)/IF(Табл1[[#This Row],[Период (№месяца)]]=1,1,1+$B$12*$B$10)</f>
        <v>38318.30448074585</v>
      </c>
      <c r="I61" s="4">
        <f>-FV($B$10,Табл1[[#This Row],[Период (№месяца)]],$C$15,$B$5,$B$12)/(1+$B$12*$B$10)</f>
        <v>36477.042757063027</v>
      </c>
      <c r="K61" s="30">
        <v>42</v>
      </c>
      <c r="L61" s="32">
        <f t="shared" si="4"/>
        <v>38318.304480745879</v>
      </c>
      <c r="M61" s="32">
        <f t="shared" si="3"/>
        <v>2224.4447684901761</v>
      </c>
      <c r="N61" s="32">
        <f t="shared" si="5"/>
        <v>383.18304480745883</v>
      </c>
      <c r="O61" s="32">
        <f t="shared" si="6"/>
        <v>1841.2617236827173</v>
      </c>
      <c r="P61" s="32">
        <f t="shared" si="7"/>
        <v>36477.042757063158</v>
      </c>
    </row>
    <row r="62" spans="1:16" x14ac:dyDescent="0.25">
      <c r="A62" s="3">
        <f>IF(ROW()-ROW(Табл1[[#Headers],[Период (№месяца)]])&gt;$B$11,0,ROW()-ROW(Табл1[[#Headers],[Период (№месяца)]]))</f>
        <v>43</v>
      </c>
      <c r="B62" s="4">
        <f>$B$5+SUM($D$19:D61)</f>
        <v>36477.042757063136</v>
      </c>
      <c r="C62" s="4">
        <f t="shared" si="8"/>
        <v>-2224.4447684901775</v>
      </c>
      <c r="D62" s="4">
        <f t="shared" si="9"/>
        <v>-1859.674340919546</v>
      </c>
      <c r="E62" s="4">
        <f t="shared" si="10"/>
        <v>-364.77042757063123</v>
      </c>
      <c r="F62" s="4">
        <f>SUM($D$20:D62)</f>
        <v>-65382.631583856411</v>
      </c>
      <c r="G62" s="4">
        <f>Табл1[[#This Row],[Тело кредита на начало периода]]+Табл1[[#This Row],[Тело кредита]]</f>
        <v>34617.368416143589</v>
      </c>
      <c r="H62" s="23">
        <f>PV($B$10,$B$11-Табл1[[#This Row],[Период (№месяца)]]+1,$C$15,$B$6,$B$12)/IF(Табл1[[#This Row],[Период (№месяца)]]=1,1,1+$B$12*$B$10)</f>
        <v>36477.04275706318</v>
      </c>
      <c r="I62" s="4">
        <f>-FV($B$10,Табл1[[#This Row],[Период (№месяца)]],$C$15,$B$5,$B$12)/(1+$B$12*$B$10)</f>
        <v>34617.368416143523</v>
      </c>
      <c r="K62" s="30">
        <v>43</v>
      </c>
      <c r="L62" s="32">
        <f t="shared" si="4"/>
        <v>36477.042757063158</v>
      </c>
      <c r="M62" s="32">
        <f t="shared" si="3"/>
        <v>2224.4447684901761</v>
      </c>
      <c r="N62" s="32">
        <f t="shared" si="5"/>
        <v>364.77042757063157</v>
      </c>
      <c r="O62" s="32">
        <f t="shared" si="6"/>
        <v>1859.6743409195446</v>
      </c>
      <c r="P62" s="32">
        <f t="shared" si="7"/>
        <v>34617.36841614361</v>
      </c>
    </row>
    <row r="63" spans="1:16" x14ac:dyDescent="0.25">
      <c r="A63" s="3">
        <f>IF(ROW()-ROW(Табл1[[#Headers],[Период (№месяца)]])&gt;$B$11,0,ROW()-ROW(Табл1[[#Headers],[Период (№месяца)]]))</f>
        <v>44</v>
      </c>
      <c r="B63" s="4">
        <f>$B$5+SUM($D$19:D62)</f>
        <v>34617.368416143589</v>
      </c>
      <c r="C63" s="4">
        <f t="shared" si="8"/>
        <v>-2224.4447684901775</v>
      </c>
      <c r="D63" s="4">
        <f t="shared" si="9"/>
        <v>-1878.2710843287414</v>
      </c>
      <c r="E63" s="4">
        <f t="shared" si="10"/>
        <v>-346.1736841614358</v>
      </c>
      <c r="F63" s="4">
        <f>SUM($D$20:D63)</f>
        <v>-67260.902668185154</v>
      </c>
      <c r="G63" s="4">
        <f>Табл1[[#This Row],[Тело кредита на начало периода]]+Табл1[[#This Row],[Тело кредита]]</f>
        <v>32739.097331814846</v>
      </c>
      <c r="H63" s="23">
        <f>PV($B$10,$B$11-Табл1[[#This Row],[Период (№месяца)]]+1,$C$15,$B$6,$B$12)/IF(Табл1[[#This Row],[Период (№месяца)]]=1,1,1+$B$12*$B$10)</f>
        <v>34617.368416143625</v>
      </c>
      <c r="I63" s="4">
        <f>-FV($B$10,Табл1[[#This Row],[Период (№месяца)]],$C$15,$B$5,$B$12)/(1+$B$12*$B$10)</f>
        <v>32739.097331814773</v>
      </c>
      <c r="K63" s="30">
        <v>44</v>
      </c>
      <c r="L63" s="32">
        <f t="shared" si="4"/>
        <v>34617.36841614361</v>
      </c>
      <c r="M63" s="32">
        <f t="shared" si="3"/>
        <v>2224.4447684901761</v>
      </c>
      <c r="N63" s="32">
        <f t="shared" si="5"/>
        <v>346.17368416143609</v>
      </c>
      <c r="O63" s="32">
        <f t="shared" si="6"/>
        <v>1878.27108432874</v>
      </c>
      <c r="P63" s="32">
        <f t="shared" si="7"/>
        <v>32739.097331814872</v>
      </c>
    </row>
    <row r="64" spans="1:16" x14ac:dyDescent="0.25">
      <c r="A64" s="3">
        <f>IF(ROW()-ROW(Табл1[[#Headers],[Период (№месяца)]])&gt;$B$11,0,ROW()-ROW(Табл1[[#Headers],[Период (№месяца)]]))</f>
        <v>45</v>
      </c>
      <c r="B64" s="4">
        <f>$B$5+SUM($D$19:D63)</f>
        <v>32739.097331814846</v>
      </c>
      <c r="C64" s="4">
        <f t="shared" si="8"/>
        <v>-2224.4447684901775</v>
      </c>
      <c r="D64" s="4">
        <f t="shared" si="9"/>
        <v>-1897.0537951720291</v>
      </c>
      <c r="E64" s="4">
        <f t="shared" si="10"/>
        <v>-327.39097331814838</v>
      </c>
      <c r="F64" s="4">
        <f>SUM($D$20:D64)</f>
        <v>-69157.956463357186</v>
      </c>
      <c r="G64" s="4">
        <f>Табл1[[#This Row],[Тело кредита на начало периода]]+Табл1[[#This Row],[Тело кредита]]</f>
        <v>30842.043536642817</v>
      </c>
      <c r="H64" s="23">
        <f>PV($B$10,$B$11-Табл1[[#This Row],[Период (№месяца)]]+1,$C$15,$B$6,$B$12)/IF(Табл1[[#This Row],[Период (№месяца)]]=1,1,1+$B$12*$B$10)</f>
        <v>32739.097331814879</v>
      </c>
      <c r="I64" s="4">
        <f>-FV($B$10,Табл1[[#This Row],[Период (№месяца)]],$C$15,$B$5,$B$12)/(1+$B$12*$B$10)</f>
        <v>30842.043536642726</v>
      </c>
      <c r="K64" s="30">
        <v>45</v>
      </c>
      <c r="L64" s="32">
        <f t="shared" si="4"/>
        <v>32739.097331814872</v>
      </c>
      <c r="M64" s="32">
        <f t="shared" si="3"/>
        <v>2224.4447684901761</v>
      </c>
      <c r="N64" s="32">
        <f t="shared" si="5"/>
        <v>327.39097331814872</v>
      </c>
      <c r="O64" s="32">
        <f t="shared" si="6"/>
        <v>1897.0537951720273</v>
      </c>
      <c r="P64" s="32">
        <f t="shared" si="7"/>
        <v>30842.043536642843</v>
      </c>
    </row>
    <row r="65" spans="1:16" x14ac:dyDescent="0.25">
      <c r="A65" s="3">
        <f>IF(ROW()-ROW(Табл1[[#Headers],[Период (№месяца)]])&gt;$B$11,0,ROW()-ROW(Табл1[[#Headers],[Период (№месяца)]]))</f>
        <v>46</v>
      </c>
      <c r="B65" s="4">
        <f>$B$5+SUM($D$19:D64)</f>
        <v>30842.043536642814</v>
      </c>
      <c r="C65" s="4">
        <f t="shared" si="8"/>
        <v>-2224.4447684901775</v>
      </c>
      <c r="D65" s="4">
        <f t="shared" si="9"/>
        <v>-1916.0243331237493</v>
      </c>
      <c r="E65" s="4">
        <f t="shared" si="10"/>
        <v>-308.42043536642802</v>
      </c>
      <c r="F65" s="4">
        <f>SUM($D$20:D65)</f>
        <v>-71073.98079648093</v>
      </c>
      <c r="G65" s="4">
        <f>Табл1[[#This Row],[Тело кредита на начало периода]]+Табл1[[#This Row],[Тело кредита]]</f>
        <v>28926.019203519063</v>
      </c>
      <c r="H65" s="23">
        <f>PV($B$10,$B$11-Табл1[[#This Row],[Период (№месяца)]]+1,$C$15,$B$6,$B$12)/IF(Табл1[[#This Row],[Период (№месяца)]]=1,1,1+$B$12*$B$10)</f>
        <v>30842.043536642792</v>
      </c>
      <c r="I65" s="4">
        <f>-FV($B$10,Табл1[[#This Row],[Период (№месяца)]],$C$15,$B$5,$B$12)/(1+$B$12*$B$10)</f>
        <v>28926.019203518954</v>
      </c>
      <c r="K65" s="30">
        <v>46</v>
      </c>
      <c r="L65" s="32">
        <f t="shared" si="4"/>
        <v>30842.043536642843</v>
      </c>
      <c r="M65" s="32">
        <f t="shared" si="3"/>
        <v>2224.4447684901761</v>
      </c>
      <c r="N65" s="32">
        <f t="shared" si="5"/>
        <v>308.42043536642842</v>
      </c>
      <c r="O65" s="32">
        <f t="shared" si="6"/>
        <v>1916.0243331237477</v>
      </c>
      <c r="P65" s="32">
        <f t="shared" si="7"/>
        <v>28926.019203519096</v>
      </c>
    </row>
    <row r="66" spans="1:16" x14ac:dyDescent="0.25">
      <c r="A66" s="3">
        <f>IF(ROW()-ROW(Табл1[[#Headers],[Период (№месяца)]])&gt;$B$11,0,ROW()-ROW(Табл1[[#Headers],[Период (№месяца)]]))</f>
        <v>47</v>
      </c>
      <c r="B66" s="4">
        <f>$B$5+SUM($D$19:D65)</f>
        <v>28926.01920351907</v>
      </c>
      <c r="C66" s="4">
        <f t="shared" si="8"/>
        <v>-2224.4447684901775</v>
      </c>
      <c r="D66" s="4">
        <f t="shared" si="9"/>
        <v>-1935.1845764549867</v>
      </c>
      <c r="E66" s="4">
        <f t="shared" si="10"/>
        <v>-289.26019203519058</v>
      </c>
      <c r="F66" s="4">
        <f>SUM($D$20:D66)</f>
        <v>-73009.16537293591</v>
      </c>
      <c r="G66" s="4">
        <f>Табл1[[#This Row],[Тело кредита на начало периода]]+Табл1[[#This Row],[Тело кредита]]</f>
        <v>26990.834627064083</v>
      </c>
      <c r="H66" s="23">
        <f>PV($B$10,$B$11-Табл1[[#This Row],[Период (№месяца)]]+1,$C$15,$B$6,$B$12)/IF(Табл1[[#This Row],[Период (№месяца)]]=1,1,1+$B$12*$B$10)</f>
        <v>28926.019203519092</v>
      </c>
      <c r="I66" s="4">
        <f>-FV($B$10,Табл1[[#This Row],[Период (№месяца)]],$C$15,$B$5,$B$12)/(1+$B$12*$B$10)</f>
        <v>26990.834627064032</v>
      </c>
      <c r="K66" s="30">
        <v>47</v>
      </c>
      <c r="L66" s="32">
        <f t="shared" si="4"/>
        <v>28926.019203519096</v>
      </c>
      <c r="M66" s="32">
        <f t="shared" si="3"/>
        <v>2224.4447684901761</v>
      </c>
      <c r="N66" s="32">
        <f t="shared" si="5"/>
        <v>289.26019203519098</v>
      </c>
      <c r="O66" s="32">
        <f t="shared" si="6"/>
        <v>1935.1845764549851</v>
      </c>
      <c r="P66" s="32">
        <f t="shared" si="7"/>
        <v>26990.834627064112</v>
      </c>
    </row>
    <row r="67" spans="1:16" x14ac:dyDescent="0.25">
      <c r="A67" s="3">
        <f>IF(ROW()-ROW(Табл1[[#Headers],[Период (№месяца)]])&gt;$B$11,0,ROW()-ROW(Табл1[[#Headers],[Период (№месяца)]]))</f>
        <v>48</v>
      </c>
      <c r="B67" s="4">
        <f>$B$5+SUM($D$19:D66)</f>
        <v>26990.83462706409</v>
      </c>
      <c r="C67" s="4">
        <f t="shared" si="8"/>
        <v>-2224.4447684901775</v>
      </c>
      <c r="D67" s="4">
        <f t="shared" si="9"/>
        <v>-1954.5364222195367</v>
      </c>
      <c r="E67" s="4">
        <f t="shared" si="10"/>
        <v>-269.90834627064072</v>
      </c>
      <c r="F67" s="4">
        <f>SUM($D$20:D67)</f>
        <v>-74963.701795155444</v>
      </c>
      <c r="G67" s="4">
        <f>Табл1[[#This Row],[Тело кредита на начало периода]]+Табл1[[#This Row],[Тело кредита]]</f>
        <v>25036.298204844556</v>
      </c>
      <c r="H67" s="23">
        <f>PV($B$10,$B$11-Табл1[[#This Row],[Период (№месяца)]]+1,$C$15,$B$6,$B$12)/IF(Табл1[[#This Row],[Период (№месяца)]]=1,1,1+$B$12*$B$10)</f>
        <v>26990.83462706408</v>
      </c>
      <c r="I67" s="4">
        <f>-FV($B$10,Табл1[[#This Row],[Период (№месяца)]],$C$15,$B$5,$B$12)/(1+$B$12*$B$10)</f>
        <v>25036.298204844439</v>
      </c>
      <c r="K67" s="30">
        <v>48</v>
      </c>
      <c r="L67" s="32">
        <f t="shared" si="4"/>
        <v>26990.834627064112</v>
      </c>
      <c r="M67" s="32">
        <f t="shared" si="3"/>
        <v>2224.4447684901761</v>
      </c>
      <c r="N67" s="32">
        <f t="shared" si="5"/>
        <v>269.90834627064112</v>
      </c>
      <c r="O67" s="32">
        <f t="shared" si="6"/>
        <v>1954.5364222195349</v>
      </c>
      <c r="P67" s="32">
        <f t="shared" si="7"/>
        <v>25036.298204844577</v>
      </c>
    </row>
    <row r="68" spans="1:16" x14ac:dyDescent="0.25">
      <c r="A68" s="3">
        <f>IF(ROW()-ROW(Табл1[[#Headers],[Период (№месяца)]])&gt;$B$11,0,ROW()-ROW(Табл1[[#Headers],[Период (№месяца)]]))</f>
        <v>49</v>
      </c>
      <c r="B68" s="4">
        <f>$B$5+SUM($D$19:D67)</f>
        <v>25036.298204844556</v>
      </c>
      <c r="C68" s="4">
        <f t="shared" si="8"/>
        <v>-2224.4447684901775</v>
      </c>
      <c r="D68" s="4">
        <f t="shared" si="9"/>
        <v>-1974.081786441732</v>
      </c>
      <c r="E68" s="4">
        <f t="shared" si="10"/>
        <v>-250.36298204844533</v>
      </c>
      <c r="F68" s="4">
        <f>SUM($D$20:D68)</f>
        <v>-76937.783581597178</v>
      </c>
      <c r="G68" s="4">
        <f>Табл1[[#This Row],[Тело кредита на начало периода]]+Табл1[[#This Row],[Тело кредита]]</f>
        <v>23062.216418402822</v>
      </c>
      <c r="H68" s="23">
        <f>PV($B$10,$B$11-Табл1[[#This Row],[Период (№месяца)]]+1,$C$15,$B$6,$B$12)/IF(Табл1[[#This Row],[Период (№месяца)]]=1,1,1+$B$12*$B$10)</f>
        <v>25036.298204844537</v>
      </c>
      <c r="I68" s="4">
        <f>-FV($B$10,Табл1[[#This Row],[Период (№месяца)]],$C$15,$B$5,$B$12)/(1+$B$12*$B$10)</f>
        <v>23062.216418402706</v>
      </c>
      <c r="K68" s="30">
        <v>49</v>
      </c>
      <c r="L68" s="32">
        <f t="shared" si="4"/>
        <v>25036.298204844577</v>
      </c>
      <c r="M68" s="32">
        <f t="shared" si="3"/>
        <v>2224.4447684901761</v>
      </c>
      <c r="N68" s="32">
        <f t="shared" si="5"/>
        <v>250.36298204844579</v>
      </c>
      <c r="O68" s="32">
        <f t="shared" si="6"/>
        <v>1974.0817864417304</v>
      </c>
      <c r="P68" s="32">
        <f t="shared" si="7"/>
        <v>23062.216418402848</v>
      </c>
    </row>
    <row r="69" spans="1:16" x14ac:dyDescent="0.25">
      <c r="A69" s="3">
        <f>IF(ROW()-ROW(Табл1[[#Headers],[Период (№месяца)]])&gt;$B$11,0,ROW()-ROW(Табл1[[#Headers],[Период (№месяца)]]))</f>
        <v>50</v>
      </c>
      <c r="B69" s="4">
        <f>$B$5+SUM($D$19:D68)</f>
        <v>23062.216418402822</v>
      </c>
      <c r="C69" s="4">
        <f t="shared" si="8"/>
        <v>-2224.4447684901775</v>
      </c>
      <c r="D69" s="4">
        <f t="shared" si="9"/>
        <v>-1993.8226043061493</v>
      </c>
      <c r="E69" s="4">
        <f t="shared" si="10"/>
        <v>-230.62216418402801</v>
      </c>
      <c r="F69" s="4">
        <f>SUM($D$20:D69)</f>
        <v>-78931.606185903322</v>
      </c>
      <c r="G69" s="4">
        <f>Табл1[[#This Row],[Тело кредита на начало периода]]+Табл1[[#This Row],[Тело кредита]]</f>
        <v>21068.393814096675</v>
      </c>
      <c r="H69" s="23">
        <f>PV($B$10,$B$11-Табл1[[#This Row],[Период (№месяца)]]+1,$C$15,$B$6,$B$12)/IF(Табл1[[#This Row],[Период (№месяца)]]=1,1,1+$B$12*$B$10)</f>
        <v>23062.216418402797</v>
      </c>
      <c r="I69" s="4">
        <f>-FV($B$10,Табл1[[#This Row],[Период (№месяца)]],$C$15,$B$5,$B$12)/(1+$B$12*$B$10)</f>
        <v>21068.393814096518</v>
      </c>
      <c r="K69" s="30">
        <v>50</v>
      </c>
      <c r="L69" s="32">
        <f t="shared" si="4"/>
        <v>23062.216418402848</v>
      </c>
      <c r="M69" s="32">
        <f t="shared" si="3"/>
        <v>2224.4447684901761</v>
      </c>
      <c r="N69" s="32">
        <f t="shared" si="5"/>
        <v>230.62216418402849</v>
      </c>
      <c r="O69" s="32">
        <f t="shared" si="6"/>
        <v>1993.8226043061477</v>
      </c>
      <c r="P69" s="32">
        <f t="shared" si="7"/>
        <v>21068.3938140967</v>
      </c>
    </row>
    <row r="70" spans="1:16" x14ac:dyDescent="0.25">
      <c r="A70" s="3">
        <f>IF(ROW()-ROW(Табл1[[#Headers],[Период (№месяца)]])&gt;$B$11,0,ROW()-ROW(Табл1[[#Headers],[Период (№месяца)]]))</f>
        <v>51</v>
      </c>
      <c r="B70" s="4">
        <f>$B$5+SUM($D$19:D69)</f>
        <v>21068.393814096678</v>
      </c>
      <c r="C70" s="4">
        <f t="shared" si="8"/>
        <v>-2224.4447684901775</v>
      </c>
      <c r="D70" s="4">
        <f t="shared" si="9"/>
        <v>-2013.7608303492107</v>
      </c>
      <c r="E70" s="4">
        <f t="shared" si="10"/>
        <v>-210.68393814096649</v>
      </c>
      <c r="F70" s="4">
        <f>SUM($D$20:D70)</f>
        <v>-80945.367016252538</v>
      </c>
      <c r="G70" s="4">
        <f>Табл1[[#This Row],[Тело кредита на начало периода]]+Табл1[[#This Row],[Тело кредита]]</f>
        <v>19054.63298374747</v>
      </c>
      <c r="H70" s="23">
        <f>PV($B$10,$B$11-Табл1[[#This Row],[Период (№месяца)]]+1,$C$15,$B$6,$B$12)/IF(Табл1[[#This Row],[Период (№месяца)]]=1,1,1+$B$12*$B$10)</f>
        <v>21068.393814096689</v>
      </c>
      <c r="I70" s="4">
        <f>-FV($B$10,Табл1[[#This Row],[Период (№месяца)]],$C$15,$B$5,$B$12)/(1+$B$12*$B$10)</f>
        <v>19054.632983747346</v>
      </c>
      <c r="K70" s="30">
        <v>51</v>
      </c>
      <c r="L70" s="32">
        <f t="shared" si="4"/>
        <v>21068.3938140967</v>
      </c>
      <c r="M70" s="32">
        <f t="shared" si="3"/>
        <v>2224.4447684901761</v>
      </c>
      <c r="N70" s="32">
        <f t="shared" si="5"/>
        <v>210.683938140967</v>
      </c>
      <c r="O70" s="32">
        <f t="shared" si="6"/>
        <v>2013.7608303492091</v>
      </c>
      <c r="P70" s="32">
        <f t="shared" si="7"/>
        <v>19054.632983747491</v>
      </c>
    </row>
    <row r="71" spans="1:16" x14ac:dyDescent="0.25">
      <c r="A71" s="3">
        <f>IF(ROW()-ROW(Табл1[[#Headers],[Период (№месяца)]])&gt;$B$11,0,ROW()-ROW(Табл1[[#Headers],[Период (№месяца)]]))</f>
        <v>52</v>
      </c>
      <c r="B71" s="4">
        <f>$B$5+SUM($D$19:D70)</f>
        <v>19054.632983747462</v>
      </c>
      <c r="C71" s="4">
        <f t="shared" si="8"/>
        <v>-2224.4447684901775</v>
      </c>
      <c r="D71" s="4">
        <f t="shared" si="9"/>
        <v>-2033.8984386527029</v>
      </c>
      <c r="E71" s="4">
        <f t="shared" si="10"/>
        <v>-190.54632983747442</v>
      </c>
      <c r="F71" s="4">
        <f>SUM($D$20:D71)</f>
        <v>-82979.265454905239</v>
      </c>
      <c r="G71" s="4">
        <f>Табл1[[#This Row],[Тело кредита на начало периода]]+Табл1[[#This Row],[Тело кредита]]</f>
        <v>17020.734545094758</v>
      </c>
      <c r="H71" s="23">
        <f>PV($B$10,$B$11-Табл1[[#This Row],[Период (№месяца)]]+1,$C$15,$B$6,$B$12)/IF(Табл1[[#This Row],[Период (№месяца)]]=1,1,1+$B$12*$B$10)</f>
        <v>19054.632983747477</v>
      </c>
      <c r="I71" s="4">
        <f>-FV($B$10,Табл1[[#This Row],[Период (№месяца)]],$C$15,$B$5,$B$12)/(1+$B$12*$B$10)</f>
        <v>17020.73454509466</v>
      </c>
      <c r="K71" s="30">
        <v>52</v>
      </c>
      <c r="L71" s="32">
        <f t="shared" si="4"/>
        <v>19054.632983747491</v>
      </c>
      <c r="M71" s="32">
        <f t="shared" si="3"/>
        <v>2224.4447684901761</v>
      </c>
      <c r="N71" s="32">
        <f t="shared" si="5"/>
        <v>190.54632983747493</v>
      </c>
      <c r="O71" s="32">
        <f t="shared" si="6"/>
        <v>2033.8984386527011</v>
      </c>
      <c r="P71" s="32">
        <f t="shared" si="7"/>
        <v>17020.734545094791</v>
      </c>
    </row>
    <row r="72" spans="1:16" x14ac:dyDescent="0.25">
      <c r="A72" s="3">
        <f>IF(ROW()-ROW(Табл1[[#Headers],[Период (№месяца)]])&gt;$B$11,0,ROW()-ROW(Табл1[[#Headers],[Период (№месяца)]]))</f>
        <v>53</v>
      </c>
      <c r="B72" s="4">
        <f>$B$5+SUM($D$19:D71)</f>
        <v>17020.734545094761</v>
      </c>
      <c r="C72" s="4">
        <f t="shared" si="8"/>
        <v>-2224.4447684901775</v>
      </c>
      <c r="D72" s="4">
        <f t="shared" si="9"/>
        <v>-2054.2374230392297</v>
      </c>
      <c r="E72" s="4">
        <f t="shared" si="10"/>
        <v>-170.20734545094737</v>
      </c>
      <c r="F72" s="4">
        <f>SUM($D$20:D72)</f>
        <v>-85033.502877944469</v>
      </c>
      <c r="G72" s="4">
        <f>Табл1[[#This Row],[Тело кредита на начало периода]]+Табл1[[#This Row],[Тело кредита]]</f>
        <v>14966.497122055531</v>
      </c>
      <c r="H72" s="23">
        <f>PV($B$10,$B$11-Табл1[[#This Row],[Период (№месяца)]]+1,$C$15,$B$6,$B$12)/IF(Табл1[[#This Row],[Период (№месяца)]]=1,1,1+$B$12*$B$10)</f>
        <v>17020.734545094754</v>
      </c>
      <c r="I72" s="4">
        <f>-FV($B$10,Табл1[[#This Row],[Период (№месяца)]],$C$15,$B$5,$B$12)/(1+$B$12*$B$10)</f>
        <v>14966.497122055443</v>
      </c>
      <c r="K72" s="30">
        <v>53</v>
      </c>
      <c r="L72" s="32">
        <f t="shared" si="4"/>
        <v>17020.734545094791</v>
      </c>
      <c r="M72" s="32">
        <f t="shared" si="3"/>
        <v>2224.4447684901761</v>
      </c>
      <c r="N72" s="32">
        <f t="shared" si="5"/>
        <v>170.20734545094791</v>
      </c>
      <c r="O72" s="32">
        <f t="shared" si="6"/>
        <v>2054.2374230392284</v>
      </c>
      <c r="P72" s="32">
        <f t="shared" si="7"/>
        <v>14966.497122055562</v>
      </c>
    </row>
    <row r="73" spans="1:16" x14ac:dyDescent="0.25">
      <c r="A73" s="3">
        <f>IF(ROW()-ROW(Табл1[[#Headers],[Период (№месяца)]])&gt;$B$11,0,ROW()-ROW(Табл1[[#Headers],[Период (№месяца)]]))</f>
        <v>54</v>
      </c>
      <c r="B73" s="4">
        <f>$B$5+SUM($D$19:D72)</f>
        <v>14966.497122055531</v>
      </c>
      <c r="C73" s="4">
        <f t="shared" si="8"/>
        <v>-2224.4447684901775</v>
      </c>
      <c r="D73" s="4">
        <f t="shared" si="9"/>
        <v>-2074.7797972696221</v>
      </c>
      <c r="E73" s="4">
        <f t="shared" si="10"/>
        <v>-149.66497122055503</v>
      </c>
      <c r="F73" s="4">
        <f>SUM($D$20:D73)</f>
        <v>-87108.282675214097</v>
      </c>
      <c r="G73" s="4">
        <f>Табл1[[#This Row],[Тело кредита на начало периода]]+Табл1[[#This Row],[Тело кредита]]</f>
        <v>12891.717324785908</v>
      </c>
      <c r="H73" s="23">
        <f>PV($B$10,$B$11-Табл1[[#This Row],[Период (№месяца)]]+1,$C$15,$B$6,$B$12)/IF(Табл1[[#This Row],[Период (№месяца)]]=1,1,1+$B$12*$B$10)</f>
        <v>14966.497122055471</v>
      </c>
      <c r="I73" s="4">
        <f>-FV($B$10,Табл1[[#This Row],[Период (№месяца)]],$C$15,$B$5,$B$12)/(1+$B$12*$B$10)</f>
        <v>12891.717324785743</v>
      </c>
      <c r="K73" s="30">
        <v>54</v>
      </c>
      <c r="L73" s="32">
        <f t="shared" si="4"/>
        <v>14966.497122055562</v>
      </c>
      <c r="M73" s="32">
        <f t="shared" si="3"/>
        <v>2224.4447684901761</v>
      </c>
      <c r="N73" s="32">
        <f t="shared" si="5"/>
        <v>149.66497122055563</v>
      </c>
      <c r="O73" s="32">
        <f t="shared" si="6"/>
        <v>2074.7797972696203</v>
      </c>
      <c r="P73" s="32">
        <f t="shared" si="7"/>
        <v>12891.717324785941</v>
      </c>
    </row>
    <row r="74" spans="1:16" x14ac:dyDescent="0.25">
      <c r="A74" s="3">
        <f>IF(ROW()-ROW(Табл1[[#Headers],[Период (№месяца)]])&gt;$B$11,0,ROW()-ROW(Табл1[[#Headers],[Период (№месяца)]]))</f>
        <v>55</v>
      </c>
      <c r="B74" s="4">
        <f>$B$5+SUM($D$19:D73)</f>
        <v>12891.717324785903</v>
      </c>
      <c r="C74" s="4">
        <f t="shared" si="8"/>
        <v>-2224.4447684901775</v>
      </c>
      <c r="D74" s="4">
        <f t="shared" si="9"/>
        <v>-2095.5275952423185</v>
      </c>
      <c r="E74" s="4">
        <f t="shared" si="10"/>
        <v>-128.91717324785881</v>
      </c>
      <c r="F74" s="4">
        <f>SUM($D$20:D74)</f>
        <v>-89203.810270456423</v>
      </c>
      <c r="G74" s="4">
        <f>Табл1[[#This Row],[Тело кредита на начало периода]]+Табл1[[#This Row],[Тело кредита]]</f>
        <v>10796.189729543585</v>
      </c>
      <c r="H74" s="23">
        <f>PV($B$10,$B$11-Табл1[[#This Row],[Период (№месяца)]]+1,$C$15,$B$6,$B$12)/IF(Табл1[[#This Row],[Период (№месяца)]]=1,1,1+$B$12*$B$10)</f>
        <v>12891.717324785908</v>
      </c>
      <c r="I74" s="4">
        <f>-FV($B$10,Табл1[[#This Row],[Период (№месяца)]],$C$15,$B$5,$B$12)/(1+$B$12*$B$10)</f>
        <v>10796.18972954349</v>
      </c>
      <c r="K74" s="30">
        <v>55</v>
      </c>
      <c r="L74" s="32">
        <f t="shared" si="4"/>
        <v>12891.717324785941</v>
      </c>
      <c r="M74" s="32">
        <f t="shared" si="3"/>
        <v>2224.4447684901761</v>
      </c>
      <c r="N74" s="32">
        <f t="shared" si="5"/>
        <v>128.91717324785941</v>
      </c>
      <c r="O74" s="32">
        <f t="shared" si="6"/>
        <v>2095.5275952423167</v>
      </c>
      <c r="P74" s="32">
        <f t="shared" si="7"/>
        <v>10796.189729543625</v>
      </c>
    </row>
    <row r="75" spans="1:16" x14ac:dyDescent="0.25">
      <c r="A75" s="3">
        <f>IF(ROW()-ROW(Табл1[[#Headers],[Период (№месяца)]])&gt;$B$11,0,ROW()-ROW(Табл1[[#Headers],[Период (№месяца)]]))</f>
        <v>56</v>
      </c>
      <c r="B75" s="4">
        <f>$B$5+SUM($D$19:D74)</f>
        <v>10796.189729543577</v>
      </c>
      <c r="C75" s="4">
        <f t="shared" si="8"/>
        <v>-2224.4447684901775</v>
      </c>
      <c r="D75" s="4">
        <f t="shared" si="9"/>
        <v>-2116.4828711947416</v>
      </c>
      <c r="E75" s="4">
        <f t="shared" si="10"/>
        <v>-107.96189729543563</v>
      </c>
      <c r="F75" s="4">
        <f>SUM($D$20:D75)</f>
        <v>-91320.293141651171</v>
      </c>
      <c r="G75" s="4">
        <f>Табл1[[#This Row],[Тело кредита на начало периода]]+Табл1[[#This Row],[Тело кредита]]</f>
        <v>8679.7068583488362</v>
      </c>
      <c r="H75" s="23">
        <f>PV($B$10,$B$11-Табл1[[#This Row],[Период (№месяца)]]+1,$C$15,$B$6,$B$12)/IF(Табл1[[#This Row],[Период (№месяца)]]=1,1,1+$B$12*$B$10)</f>
        <v>10796.189729543548</v>
      </c>
      <c r="I75" s="4">
        <f>-FV($B$10,Табл1[[#This Row],[Период (№месяца)]],$C$15,$B$5,$B$12)/(1+$B$12*$B$10)</f>
        <v>8679.7068583486835</v>
      </c>
      <c r="K75" s="30">
        <v>56</v>
      </c>
      <c r="L75" s="32">
        <f t="shared" si="4"/>
        <v>10796.189729543625</v>
      </c>
      <c r="M75" s="32">
        <f t="shared" si="3"/>
        <v>2224.4447684901761</v>
      </c>
      <c r="N75" s="32">
        <f t="shared" si="5"/>
        <v>107.96189729543624</v>
      </c>
      <c r="O75" s="32">
        <f t="shared" si="6"/>
        <v>2116.4828711947398</v>
      </c>
      <c r="P75" s="32">
        <f t="shared" si="7"/>
        <v>8679.7068583488854</v>
      </c>
    </row>
    <row r="76" spans="1:16" x14ac:dyDescent="0.25">
      <c r="A76" s="3">
        <f>IF(ROW()-ROW(Табл1[[#Headers],[Период (№месяца)]])&gt;$B$11,0,ROW()-ROW(Табл1[[#Headers],[Период (№месяца)]]))</f>
        <v>57</v>
      </c>
      <c r="B76" s="4">
        <f>$B$5+SUM($D$19:D75)</f>
        <v>8679.706858348829</v>
      </c>
      <c r="C76" s="4">
        <f t="shared" si="8"/>
        <v>-2224.4447684901775</v>
      </c>
      <c r="D76" s="4">
        <f t="shared" si="9"/>
        <v>-2137.6476999066895</v>
      </c>
      <c r="E76" s="4">
        <f t="shared" si="10"/>
        <v>-86.797068583488198</v>
      </c>
      <c r="F76" s="4">
        <f>SUM($D$20:D76)</f>
        <v>-93457.940841557865</v>
      </c>
      <c r="G76" s="4">
        <f>Табл1[[#This Row],[Тело кредита на начало периода]]+Табл1[[#This Row],[Тело кредита]]</f>
        <v>6542.05915844214</v>
      </c>
      <c r="H76" s="23">
        <f>PV($B$10,$B$11-Табл1[[#This Row],[Период (№месяца)]]+1,$C$15,$B$6,$B$12)/IF(Табл1[[#This Row],[Период (№месяца)]]=1,1,1+$B$12*$B$10)</f>
        <v>8679.7068583488253</v>
      </c>
      <c r="I76" s="4">
        <f>-FV($B$10,Табл1[[#This Row],[Период (№месяца)]],$C$15,$B$5,$B$12)/(1+$B$12*$B$10)</f>
        <v>6542.0591584419599</v>
      </c>
      <c r="K76" s="30">
        <v>57</v>
      </c>
      <c r="L76" s="32">
        <f t="shared" si="4"/>
        <v>8679.7068583488854</v>
      </c>
      <c r="M76" s="32">
        <f t="shared" si="3"/>
        <v>2224.4447684901761</v>
      </c>
      <c r="N76" s="32">
        <f t="shared" si="5"/>
        <v>86.797068583488851</v>
      </c>
      <c r="O76" s="32">
        <f t="shared" si="6"/>
        <v>2137.6476999066872</v>
      </c>
      <c r="P76" s="32">
        <f t="shared" si="7"/>
        <v>6542.0591584421982</v>
      </c>
    </row>
    <row r="77" spans="1:16" x14ac:dyDescent="0.25">
      <c r="A77" s="3">
        <f>IF(ROW()-ROW(Табл1[[#Headers],[Период (№месяца)]])&gt;$B$11,0,ROW()-ROW(Табл1[[#Headers],[Период (№месяца)]]))</f>
        <v>58</v>
      </c>
      <c r="B77" s="4">
        <f>$B$5+SUM($D$19:D76)</f>
        <v>6542.0591584421345</v>
      </c>
      <c r="C77" s="4">
        <f t="shared" si="8"/>
        <v>-2224.4447684901775</v>
      </c>
      <c r="D77" s="4">
        <f t="shared" si="9"/>
        <v>-2159.0241769057561</v>
      </c>
      <c r="E77" s="4">
        <f t="shared" si="10"/>
        <v>-65.420591584421317</v>
      </c>
      <c r="F77" s="4">
        <f>SUM($D$20:D77)</f>
        <v>-95616.965018463627</v>
      </c>
      <c r="G77" s="4">
        <f>Табл1[[#This Row],[Тело кредита на начало периода]]+Табл1[[#This Row],[Тело кредита]]</f>
        <v>4383.0349815363788</v>
      </c>
      <c r="H77" s="23">
        <f>PV($B$10,$B$11-Табл1[[#This Row],[Период (№месяца)]]+1,$C$15,$B$6,$B$12)/IF(Табл1[[#This Row],[Период (№месяца)]]=1,1,1+$B$12*$B$10)</f>
        <v>6542.0591584421127</v>
      </c>
      <c r="I77" s="4">
        <f>-FV($B$10,Табл1[[#This Row],[Период (№месяца)]],$C$15,$B$5,$B$12)/(1+$B$12*$B$10)</f>
        <v>4383.0349815362424</v>
      </c>
      <c r="K77" s="30">
        <v>58</v>
      </c>
      <c r="L77" s="32">
        <f t="shared" si="4"/>
        <v>6542.0591584421982</v>
      </c>
      <c r="M77" s="32">
        <f t="shared" si="3"/>
        <v>2224.4447684901761</v>
      </c>
      <c r="N77" s="32">
        <f t="shared" si="5"/>
        <v>65.420591584421985</v>
      </c>
      <c r="O77" s="32">
        <f t="shared" si="6"/>
        <v>2159.0241769057543</v>
      </c>
      <c r="P77" s="32">
        <f t="shared" si="7"/>
        <v>4383.0349815364443</v>
      </c>
    </row>
    <row r="78" spans="1:16" x14ac:dyDescent="0.25">
      <c r="A78" s="3">
        <f>IF(ROW()-ROW(Табл1[[#Headers],[Период (№месяца)]])&gt;$B$11,0,ROW()-ROW(Табл1[[#Headers],[Период (№месяца)]]))</f>
        <v>59</v>
      </c>
      <c r="B78" s="4">
        <f>$B$5+SUM($D$19:D77)</f>
        <v>4383.0349815363734</v>
      </c>
      <c r="C78" s="4">
        <f t="shared" si="8"/>
        <v>-2224.4447684901775</v>
      </c>
      <c r="D78" s="4">
        <f t="shared" si="9"/>
        <v>-2180.6144186748134</v>
      </c>
      <c r="E78" s="4">
        <f t="shared" si="10"/>
        <v>-43.830349815363761</v>
      </c>
      <c r="F78" s="4">
        <f>SUM($D$20:D78)</f>
        <v>-97797.57943713844</v>
      </c>
      <c r="G78" s="4">
        <f>Табл1[[#This Row],[Тело кредита на начало периода]]+Табл1[[#This Row],[Тело кредита]]</f>
        <v>2202.42056286156</v>
      </c>
      <c r="H78" s="23">
        <f>PV($B$10,$B$11-Табл1[[#This Row],[Период (№месяца)]]+1,$C$15,$B$6,$B$12)/IF(Табл1[[#This Row],[Период (№месяца)]]=1,1,1+$B$12*$B$10)</f>
        <v>4383.034981536377</v>
      </c>
      <c r="I78" s="4">
        <f>-FV($B$10,Табл1[[#This Row],[Период (№месяца)]],$C$15,$B$5,$B$12)/(1+$B$12*$B$10)</f>
        <v>2202.4205628614873</v>
      </c>
      <c r="K78" s="30">
        <v>59</v>
      </c>
      <c r="L78" s="32">
        <f t="shared" si="4"/>
        <v>4383.0349815364443</v>
      </c>
      <c r="M78" s="32">
        <f t="shared" si="3"/>
        <v>2224.4447684901761</v>
      </c>
      <c r="N78" s="32">
        <f t="shared" si="5"/>
        <v>43.830349815364443</v>
      </c>
      <c r="O78" s="32">
        <f t="shared" si="6"/>
        <v>2180.6144186748115</v>
      </c>
      <c r="P78" s="32">
        <f t="shared" si="7"/>
        <v>2202.4205628616328</v>
      </c>
    </row>
    <row r="79" spans="1:16" x14ac:dyDescent="0.25">
      <c r="A79" s="3">
        <f>IF(ROW()-ROW(Табл1[[#Headers],[Период (№месяца)]])&gt;$B$11,0,ROW()-ROW(Табл1[[#Headers],[Период (№месяца)]]))</f>
        <v>60</v>
      </c>
      <c r="B79" s="4">
        <f>$B$5+SUM($D$19:D78)</f>
        <v>2202.42056286156</v>
      </c>
      <c r="C79" s="4">
        <f t="shared" si="8"/>
        <v>-2224.4447684901775</v>
      </c>
      <c r="D79" s="4">
        <f t="shared" si="9"/>
        <v>-2202.4205628615614</v>
      </c>
      <c r="E79" s="4">
        <f t="shared" si="10"/>
        <v>-22.024205628615618</v>
      </c>
      <c r="F79" s="4">
        <f>SUM($D$20:D79)</f>
        <v>-100000</v>
      </c>
      <c r="G79" s="4">
        <f>Табл1[[#This Row],[Тело кредита на начало периода]]+Табл1[[#This Row],[Тело кредита]]</f>
        <v>0</v>
      </c>
      <c r="H79" s="23">
        <f>PV($B$10,$B$11-Табл1[[#This Row],[Период (№месяца)]]+1,$C$15,$B$6,$B$12)/IF(Табл1[[#This Row],[Период (№месяца)]]=1,1,1+$B$12*$B$10)</f>
        <v>2202.4205628615637</v>
      </c>
      <c r="I79" s="4">
        <f>-FV($B$10,Табл1[[#This Row],[Период (№месяца)]],$C$15,$B$5,$B$12)/(1+$B$12*$B$10)</f>
        <v>-8.7311491370201111E-11</v>
      </c>
      <c r="K79" s="30">
        <v>60</v>
      </c>
      <c r="L79" s="32">
        <f t="shared" si="4"/>
        <v>2202.4205628616328</v>
      </c>
      <c r="M79" s="32">
        <f t="shared" si="3"/>
        <v>2224.4447684901761</v>
      </c>
      <c r="N79" s="32">
        <f t="shared" si="5"/>
        <v>22.024205628616329</v>
      </c>
      <c r="O79" s="32">
        <f t="shared" si="6"/>
        <v>2202.4205628615596</v>
      </c>
      <c r="P79" s="32">
        <f t="shared" si="7"/>
        <v>7.3214323492720723E-11</v>
      </c>
    </row>
    <row r="80" spans="1:16" x14ac:dyDescent="0.25">
      <c r="A80" t="s">
        <v>31</v>
      </c>
      <c r="C80" s="22">
        <f>SUBTOTAL(109,Табл1[Регулярный платеж])</f>
        <v>-133466.68610941077</v>
      </c>
      <c r="D80" s="22">
        <f>SUBTOTAL(109,Табл1[Тело кредита])</f>
        <v>-100000</v>
      </c>
      <c r="E80" s="22">
        <f>SUBTOTAL(109,Табл1[Процент к уплате])</f>
        <v>-33466.686109410664</v>
      </c>
      <c r="F80" s="4"/>
      <c r="G80" s="4"/>
      <c r="M80" s="34">
        <f>SUM(M20:M79)</f>
        <v>133466.68610941074</v>
      </c>
      <c r="N80" s="34">
        <f t="shared" ref="N80:O80" si="11">SUM(N20:N79)</f>
        <v>33466.686109410664</v>
      </c>
      <c r="O80" s="34">
        <f t="shared" si="11"/>
        <v>99999.999999999884</v>
      </c>
    </row>
    <row r="83" spans="10:15" x14ac:dyDescent="0.25">
      <c r="K83" s="35" t="s">
        <v>54</v>
      </c>
      <c r="N83" s="36">
        <f>-B11*D15</f>
        <v>133466.68610941057</v>
      </c>
    </row>
    <row r="84" spans="10:15" x14ac:dyDescent="0.25">
      <c r="K84" t="s">
        <v>55</v>
      </c>
      <c r="N84" s="36">
        <f>N80</f>
        <v>33466.686109410664</v>
      </c>
    </row>
    <row r="85" spans="10:15" x14ac:dyDescent="0.25">
      <c r="K85" s="35" t="s">
        <v>56</v>
      </c>
      <c r="N85" s="36">
        <f>N83-N84</f>
        <v>99999.999999999913</v>
      </c>
    </row>
    <row r="86" spans="10:15" x14ac:dyDescent="0.25">
      <c r="J86" s="1" t="s">
        <v>52</v>
      </c>
      <c r="K86" t="s">
        <v>57</v>
      </c>
      <c r="N86" s="36">
        <f>P79</f>
        <v>7.3214323492720723E-11</v>
      </c>
    </row>
    <row r="87" spans="10:15" x14ac:dyDescent="0.25">
      <c r="J87" s="1" t="s">
        <v>59</v>
      </c>
    </row>
    <row r="88" spans="10:15" x14ac:dyDescent="0.25">
      <c r="J88" s="37" t="s">
        <v>58</v>
      </c>
      <c r="N88" s="32">
        <f>P79*B10</f>
        <v>7.3214323492720728E-13</v>
      </c>
      <c r="O88" t="s">
        <v>60</v>
      </c>
    </row>
    <row r="89" spans="10:15" x14ac:dyDescent="0.25">
      <c r="J89" t="s">
        <v>53</v>
      </c>
      <c r="N89" s="36">
        <f>N86+N88</f>
        <v>7.3946466727647937E-11</v>
      </c>
    </row>
  </sheetData>
  <pageMargins left="0.7" right="0.7" top="0.75" bottom="0.75" header="0.3" footer="0.3"/>
  <drawing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43" t="s">
        <v>63</v>
      </c>
      <c r="B1" s="43"/>
      <c r="C1" s="43"/>
      <c r="D1" s="43"/>
      <c r="E1" s="43"/>
      <c r="F1" s="43"/>
      <c r="G1" s="43"/>
    </row>
    <row r="2" spans="1:7" ht="107.25" customHeight="1" x14ac:dyDescent="0.25">
      <c r="A2" s="38" t="s">
        <v>64</v>
      </c>
    </row>
    <row r="3" spans="1:7" ht="105" customHeight="1" x14ac:dyDescent="0.25">
      <c r="A3" s="38" t="s">
        <v>65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43" t="s">
        <v>63</v>
      </c>
      <c r="B1" s="43"/>
      <c r="C1" s="43"/>
      <c r="D1" s="43"/>
      <c r="E1" s="43"/>
      <c r="F1" s="43"/>
      <c r="G1" s="43"/>
    </row>
    <row r="2" spans="1:7" ht="107.25" customHeight="1" x14ac:dyDescent="0.25">
      <c r="A2" s="38" t="s">
        <v>64</v>
      </c>
    </row>
    <row r="3" spans="1:7" ht="105" customHeight="1" x14ac:dyDescent="0.25">
      <c r="A3" s="38" t="s">
        <v>65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P78"/>
  <sheetViews>
    <sheetView workbookViewId="0">
      <selection sqref="A1:G3"/>
    </sheetView>
  </sheetViews>
  <sheetFormatPr defaultRowHeight="15" x14ac:dyDescent="0.25"/>
  <cols>
    <col min="1" max="1" width="15.7109375" customWidth="1"/>
    <col min="2" max="2" width="16.42578125" customWidth="1"/>
    <col min="3" max="3" width="15.7109375" customWidth="1"/>
    <col min="4" max="4" width="14.5703125" customWidth="1"/>
    <col min="5" max="5" width="11.7109375" bestFit="1" customWidth="1"/>
    <col min="6" max="6" width="16.85546875" customWidth="1"/>
    <col min="7" max="7" width="19.140625" customWidth="1"/>
    <col min="8" max="8" width="4.140625" customWidth="1"/>
    <col min="14" max="14" width="5" customWidth="1"/>
    <col min="15" max="15" width="10" bestFit="1" customWidth="1"/>
  </cols>
  <sheetData>
    <row r="1" spans="1:16" ht="26.25" x14ac:dyDescent="0.25">
      <c r="A1" s="39" t="s">
        <v>66</v>
      </c>
      <c r="B1" s="39"/>
      <c r="C1" s="39"/>
      <c r="D1" s="39"/>
      <c r="E1" s="39"/>
      <c r="F1" s="39"/>
      <c r="G1" s="39"/>
    </row>
    <row r="2" spans="1:16" ht="15.75" x14ac:dyDescent="0.25">
      <c r="A2" s="42" t="s">
        <v>67</v>
      </c>
      <c r="B2" s="40"/>
      <c r="C2" s="40"/>
      <c r="D2" s="40"/>
      <c r="E2" s="40"/>
      <c r="F2" s="40"/>
      <c r="G2" s="40"/>
    </row>
    <row r="3" spans="1:16" ht="18.75" x14ac:dyDescent="0.25">
      <c r="A3" s="41" t="s">
        <v>68</v>
      </c>
      <c r="B3" s="41"/>
      <c r="C3" s="41"/>
      <c r="D3" s="41"/>
      <c r="E3" s="41"/>
      <c r="F3" s="41"/>
      <c r="G3" s="41"/>
    </row>
    <row r="4" spans="1:16" x14ac:dyDescent="0.25">
      <c r="F4" s="7"/>
    </row>
    <row r="5" spans="1:16" x14ac:dyDescent="0.25">
      <c r="A5" s="9" t="s">
        <v>22</v>
      </c>
      <c r="B5" s="9" t="s">
        <v>23</v>
      </c>
      <c r="C5" s="9" t="s">
        <v>24</v>
      </c>
      <c r="D5" s="9"/>
      <c r="E5" s="9" t="s">
        <v>25</v>
      </c>
      <c r="F5" s="7"/>
    </row>
    <row r="6" spans="1:16" x14ac:dyDescent="0.25">
      <c r="A6" s="5" t="s">
        <v>19</v>
      </c>
      <c r="B6" s="6">
        <v>0.12</v>
      </c>
      <c r="C6" s="5"/>
      <c r="D6" s="5"/>
      <c r="E6" s="5"/>
      <c r="F6" s="7"/>
    </row>
    <row r="7" spans="1:16" x14ac:dyDescent="0.25">
      <c r="A7" s="5" t="s">
        <v>20</v>
      </c>
      <c r="B7" s="19">
        <f>B6/12</f>
        <v>0.01</v>
      </c>
      <c r="C7" s="5" t="s">
        <v>18</v>
      </c>
      <c r="D7" s="5" t="s">
        <v>17</v>
      </c>
      <c r="E7" s="5" t="s">
        <v>16</v>
      </c>
      <c r="F7" s="7"/>
    </row>
    <row r="8" spans="1:16" x14ac:dyDescent="0.25">
      <c r="A8" s="5" t="s">
        <v>15</v>
      </c>
      <c r="B8" s="8">
        <f>12*5</f>
        <v>60</v>
      </c>
      <c r="C8" s="5" t="s">
        <v>14</v>
      </c>
      <c r="D8" s="5" t="s">
        <v>13</v>
      </c>
      <c r="E8" s="5" t="s">
        <v>12</v>
      </c>
      <c r="F8" s="7"/>
    </row>
    <row r="9" spans="1:16" x14ac:dyDescent="0.25">
      <c r="A9" s="5" t="s">
        <v>39</v>
      </c>
      <c r="B9" s="14">
        <v>100000</v>
      </c>
      <c r="C9" s="5" t="s">
        <v>11</v>
      </c>
      <c r="D9" s="5" t="s">
        <v>10</v>
      </c>
      <c r="E9" s="5" t="s">
        <v>9</v>
      </c>
      <c r="F9" s="7"/>
    </row>
    <row r="10" spans="1:16" x14ac:dyDescent="0.25">
      <c r="A10" s="10"/>
      <c r="B10" s="27"/>
      <c r="C10" s="10"/>
      <c r="D10" s="10"/>
      <c r="E10" s="10"/>
      <c r="F10" s="7"/>
    </row>
    <row r="11" spans="1:16" x14ac:dyDescent="0.25">
      <c r="A11" s="26" t="s">
        <v>62</v>
      </c>
      <c r="B11" s="10"/>
      <c r="C11" s="10"/>
      <c r="D11" s="10"/>
      <c r="E11" s="10"/>
      <c r="F11" s="7"/>
    </row>
    <row r="12" spans="1:16" x14ac:dyDescent="0.25">
      <c r="A12" s="26"/>
      <c r="B12" s="10"/>
      <c r="C12" s="10"/>
      <c r="D12" s="10"/>
      <c r="E12" s="10"/>
      <c r="F12" s="7"/>
    </row>
    <row r="13" spans="1:16" x14ac:dyDescent="0.25">
      <c r="A13" s="1" t="s">
        <v>26</v>
      </c>
      <c r="C13" s="11">
        <f>-(B7/(1-(1+B7)^-B8))*B9</f>
        <v>-2224.4447684901761</v>
      </c>
      <c r="F13" s="7"/>
    </row>
    <row r="14" spans="1:16" x14ac:dyDescent="0.25">
      <c r="A14" s="1"/>
      <c r="C14" s="10"/>
      <c r="D14" s="10"/>
      <c r="F14" s="7"/>
      <c r="O14" s="25"/>
    </row>
    <row r="15" spans="1:16" x14ac:dyDescent="0.25">
      <c r="A15" s="1" t="s">
        <v>34</v>
      </c>
      <c r="C15" s="13"/>
      <c r="D15" s="13"/>
      <c r="F15" s="7"/>
      <c r="O15" s="25"/>
      <c r="P15" s="25"/>
    </row>
    <row r="16" spans="1:16" hidden="1" x14ac:dyDescent="0.25">
      <c r="A16" s="1"/>
    </row>
    <row r="17" spans="1:11" ht="30" x14ac:dyDescent="0.25">
      <c r="A17" s="15" t="s">
        <v>29</v>
      </c>
      <c r="B17" s="15" t="s">
        <v>48</v>
      </c>
      <c r="C17" s="16" t="s">
        <v>44</v>
      </c>
      <c r="D17" s="16" t="s">
        <v>30</v>
      </c>
      <c r="E17" s="16" t="s">
        <v>45</v>
      </c>
      <c r="F17" s="15" t="s">
        <v>41</v>
      </c>
      <c r="G17" s="15" t="s">
        <v>49</v>
      </c>
    </row>
    <row r="18" spans="1:11" x14ac:dyDescent="0.25">
      <c r="A18" s="3">
        <f>IF(ROW()-ROW(ТаблицаФ[[#Headers],[Период (№месяца)]])&gt;$B$8,0,ROW()-ROW(ТаблицаФ[[#Headers],[Период (№месяца)]]))</f>
        <v>1</v>
      </c>
      <c r="B18" s="4">
        <f>$B$9+SUM($D$17:D17)</f>
        <v>100000</v>
      </c>
      <c r="C18" s="4">
        <f t="shared" ref="C18:C49" si="0">$C$13</f>
        <v>-2224.4447684901761</v>
      </c>
      <c r="D18" s="4">
        <f>$C$13/(1+$B$7)^($B$8-ТаблицаФ[[#This Row],[Период (№месяца)]]+1)</f>
        <v>-1224.4447684901761</v>
      </c>
      <c r="E18" s="4">
        <f>$C$13*(1-1/(1+$B$7)^($B$8-ТаблицаФ[[#This Row],[Период (№месяца)]]+1))</f>
        <v>-1000</v>
      </c>
      <c r="F18" s="4">
        <f>SUM($D$18:D18)</f>
        <v>-1224.4447684901761</v>
      </c>
      <c r="G18" s="4">
        <f>ТаблицаФ[[#This Row],[Тело кредита на начало периода]]+ТаблицаФ[[#This Row],[Тело кредита]]</f>
        <v>98775.555231509818</v>
      </c>
      <c r="H18" s="4"/>
      <c r="J18" s="25"/>
      <c r="K18" s="25"/>
    </row>
    <row r="19" spans="1:11" x14ac:dyDescent="0.25">
      <c r="A19" s="3">
        <f>IF(ROW()-ROW(ТаблицаФ[[#Headers],[Период (№месяца)]])&gt;$B$8,0,ROW()-ROW(ТаблицаФ[[#Headers],[Период (№месяца)]]))</f>
        <v>2</v>
      </c>
      <c r="B19" s="4">
        <f>$B$9+SUM($D$17:D18)</f>
        <v>98775.555231509818</v>
      </c>
      <c r="C19" s="4">
        <f t="shared" si="0"/>
        <v>-2224.4447684901761</v>
      </c>
      <c r="D19" s="4">
        <f>$C$13/(1+$B$7)^($B$8-ТаблицаФ[[#This Row],[Период (№месяца)]]+1)</f>
        <v>-1236.6892161750779</v>
      </c>
      <c r="E19" s="4">
        <f>$C$13*(1-1/(1+$B$7)^($B$8-ТаблицаФ[[#This Row],[Период (№месяца)]]+1))</f>
        <v>-987.75555231509816</v>
      </c>
      <c r="F19" s="4">
        <f>SUM($D$18:D19)</f>
        <v>-2461.133984665254</v>
      </c>
      <c r="G19" s="4">
        <f>ТаблицаФ[[#This Row],[Тело кредита на начало периода]]+ТаблицаФ[[#This Row],[Тело кредита]]</f>
        <v>97538.866015334745</v>
      </c>
      <c r="H19" s="4"/>
      <c r="J19" s="25"/>
      <c r="K19" s="25"/>
    </row>
    <row r="20" spans="1:11" x14ac:dyDescent="0.25">
      <c r="A20" s="3">
        <f>IF(ROW()-ROW(ТаблицаФ[[#Headers],[Период (№месяца)]])&gt;$B$8,0,ROW()-ROW(ТаблицаФ[[#Headers],[Период (№месяца)]]))</f>
        <v>3</v>
      </c>
      <c r="B20" s="4">
        <f>$B$9+SUM($D$17:D19)</f>
        <v>97538.866015334745</v>
      </c>
      <c r="C20" s="4">
        <f t="shared" si="0"/>
        <v>-2224.4447684901761</v>
      </c>
      <c r="D20" s="4">
        <f>$C$13/(1+$B$7)^($B$8-ТаблицаФ[[#This Row],[Период (№месяца)]]+1)</f>
        <v>-1249.0561083368284</v>
      </c>
      <c r="E20" s="4">
        <f>$C$13*(1-1/(1+$B$7)^($B$8-ТаблицаФ[[#This Row],[Период (№месяца)]]+1))</f>
        <v>-975.38866015334759</v>
      </c>
      <c r="F20" s="4">
        <f>SUM($D$18:D20)</f>
        <v>-3710.1900930020824</v>
      </c>
      <c r="G20" s="4">
        <f>ТаблицаФ[[#This Row],[Тело кредита на начало периода]]+ТаблицаФ[[#This Row],[Тело кредита]]</f>
        <v>96289.809906997922</v>
      </c>
      <c r="H20" s="4"/>
      <c r="J20" s="25"/>
      <c r="K20" s="25"/>
    </row>
    <row r="21" spans="1:11" x14ac:dyDescent="0.25">
      <c r="A21" s="3">
        <f>IF(ROW()-ROW(ТаблицаФ[[#Headers],[Период (№месяца)]])&gt;$B$8,0,ROW()-ROW(ТаблицаФ[[#Headers],[Период (№месяца)]]))</f>
        <v>4</v>
      </c>
      <c r="B21" s="4">
        <f>$B$9+SUM($D$17:D20)</f>
        <v>96289.809906997922</v>
      </c>
      <c r="C21" s="4">
        <f t="shared" si="0"/>
        <v>-2224.4447684901761</v>
      </c>
      <c r="D21" s="4">
        <f>$C$13/(1+$B$7)^($B$8-ТаблицаФ[[#This Row],[Период (№месяца)]]+1)</f>
        <v>-1261.5466694201966</v>
      </c>
      <c r="E21" s="4">
        <f>$C$13*(1-1/(1+$B$7)^($B$8-ТаблицаФ[[#This Row],[Период (№месяца)]]+1))</f>
        <v>-962.89809906997948</v>
      </c>
      <c r="F21" s="4">
        <f>SUM($D$18:D21)</f>
        <v>-4971.7367624222788</v>
      </c>
      <c r="G21" s="4">
        <f>ТаблицаФ[[#This Row],[Тело кредита на начало периода]]+ТаблицаФ[[#This Row],[Тело кредита]]</f>
        <v>95028.263237577732</v>
      </c>
      <c r="H21" s="4"/>
      <c r="J21" s="25"/>
      <c r="K21" s="25"/>
    </row>
    <row r="22" spans="1:11" x14ac:dyDescent="0.25">
      <c r="A22" s="3">
        <f>IF(ROW()-ROW(ТаблицаФ[[#Headers],[Период (№месяца)]])&gt;$B$8,0,ROW()-ROW(ТаблицаФ[[#Headers],[Период (№месяца)]]))</f>
        <v>5</v>
      </c>
      <c r="B22" s="4">
        <f>$B$9+SUM($D$17:D21)</f>
        <v>95028.263237577718</v>
      </c>
      <c r="C22" s="4">
        <f t="shared" si="0"/>
        <v>-2224.4447684901761</v>
      </c>
      <c r="D22" s="4">
        <f>$C$13/(1+$B$7)^($B$8-ТаблицаФ[[#This Row],[Период (№месяца)]]+1)</f>
        <v>-1274.1621361143987</v>
      </c>
      <c r="E22" s="4">
        <f>$C$13*(1-1/(1+$B$7)^($B$8-ТаблицаФ[[#This Row],[Период (№месяца)]]+1))</f>
        <v>-950.28263237577744</v>
      </c>
      <c r="F22" s="4">
        <f>SUM($D$18:D22)</f>
        <v>-6245.8988985366777</v>
      </c>
      <c r="G22" s="4">
        <f>ТаблицаФ[[#This Row],[Тело кредита на начало периода]]+ТаблицаФ[[#This Row],[Тело кредита]]</f>
        <v>93754.101101463326</v>
      </c>
      <c r="H22" s="4"/>
      <c r="J22" s="25"/>
      <c r="K22" s="25"/>
    </row>
    <row r="23" spans="1:11" x14ac:dyDescent="0.25">
      <c r="A23" s="3">
        <f>IF(ROW()-ROW(ТаблицаФ[[#Headers],[Период (№месяца)]])&gt;$B$8,0,ROW()-ROW(ТаблицаФ[[#Headers],[Период (№месяца)]]))</f>
        <v>6</v>
      </c>
      <c r="B23" s="4">
        <f>$B$9+SUM($D$17:D22)</f>
        <v>93754.101101463326</v>
      </c>
      <c r="C23" s="4">
        <f t="shared" si="0"/>
        <v>-2224.4447684901761</v>
      </c>
      <c r="D23" s="4">
        <f>$C$13/(1+$B$7)^($B$8-ТаблицаФ[[#This Row],[Период (№месяца)]]+1)</f>
        <v>-1286.903757475543</v>
      </c>
      <c r="E23" s="4">
        <f>$C$13*(1-1/(1+$B$7)^($B$8-ТаблицаФ[[#This Row],[Период (№месяца)]]+1))</f>
        <v>-937.54101101463311</v>
      </c>
      <c r="F23" s="4">
        <f>SUM($D$18:D23)</f>
        <v>-7532.8026560122207</v>
      </c>
      <c r="G23" s="4">
        <f>ТаблицаФ[[#This Row],[Тело кредита на начало периода]]+ТаблицаФ[[#This Row],[Тело кредита]]</f>
        <v>92467.197343987777</v>
      </c>
      <c r="H23" s="4"/>
      <c r="J23" s="25"/>
      <c r="K23" s="25"/>
    </row>
    <row r="24" spans="1:11" x14ac:dyDescent="0.25">
      <c r="A24" s="3">
        <f>IF(ROW()-ROW(ТаблицаФ[[#Headers],[Период (№месяца)]])&gt;$B$8,0,ROW()-ROW(ТаблицаФ[[#Headers],[Период (№месяца)]]))</f>
        <v>7</v>
      </c>
      <c r="B24" s="4">
        <f>$B$9+SUM($D$17:D23)</f>
        <v>92467.197343987777</v>
      </c>
      <c r="C24" s="4">
        <f t="shared" si="0"/>
        <v>-2224.4447684901761</v>
      </c>
      <c r="D24" s="4">
        <f>$C$13/(1+$B$7)^($B$8-ТаблицаФ[[#This Row],[Период (№месяца)]]+1)</f>
        <v>-1299.7727950502981</v>
      </c>
      <c r="E24" s="4">
        <f>$C$13*(1-1/(1+$B$7)^($B$8-ТаблицаФ[[#This Row],[Период (№месяца)]]+1))</f>
        <v>-924.671973439878</v>
      </c>
      <c r="F24" s="4">
        <f>SUM($D$18:D24)</f>
        <v>-8832.5754510625193</v>
      </c>
      <c r="G24" s="4">
        <f>ТаблицаФ[[#This Row],[Тело кредита на начало периода]]+ТаблицаФ[[#This Row],[Тело кредита]]</f>
        <v>91167.424548937473</v>
      </c>
      <c r="H24" s="4"/>
      <c r="J24" s="25"/>
      <c r="K24" s="25"/>
    </row>
    <row r="25" spans="1:11" x14ac:dyDescent="0.25">
      <c r="A25" s="3">
        <f>IF(ROW()-ROW(ТаблицаФ[[#Headers],[Период (№месяца)]])&gt;$B$8,0,ROW()-ROW(ТаблицаФ[[#Headers],[Период (№месяца)]]))</f>
        <v>8</v>
      </c>
      <c r="B25" s="4">
        <f>$B$9+SUM($D$17:D24)</f>
        <v>91167.424548937473</v>
      </c>
      <c r="C25" s="4">
        <f t="shared" si="0"/>
        <v>-2224.4447684901761</v>
      </c>
      <c r="D25" s="4">
        <f>$C$13/(1+$B$7)^($B$8-ТаблицаФ[[#This Row],[Период (№месяца)]]+1)</f>
        <v>-1312.7705230008016</v>
      </c>
      <c r="E25" s="4">
        <f>$C$13*(1-1/(1+$B$7)^($B$8-ТаблицаФ[[#This Row],[Период (№месяца)]]+1))</f>
        <v>-911.67424548937458</v>
      </c>
      <c r="F25" s="4">
        <f>SUM($D$18:D25)</f>
        <v>-10145.345974063321</v>
      </c>
      <c r="G25" s="4">
        <f>ТаблицаФ[[#This Row],[Тело кредита на начало периода]]+ТаблицаФ[[#This Row],[Тело кредита]]</f>
        <v>89854.654025936674</v>
      </c>
      <c r="H25" s="4"/>
      <c r="J25" s="25"/>
      <c r="K25" s="25"/>
    </row>
    <row r="26" spans="1:11" x14ac:dyDescent="0.25">
      <c r="A26" s="3">
        <f>IF(ROW()-ROW(ТаблицаФ[[#Headers],[Период (№месяца)]])&gt;$B$8,0,ROW()-ROW(ТаблицаФ[[#Headers],[Период (№месяца)]]))</f>
        <v>9</v>
      </c>
      <c r="B26" s="4">
        <f>$B$9+SUM($D$17:D25)</f>
        <v>89854.654025936674</v>
      </c>
      <c r="C26" s="4">
        <f t="shared" si="0"/>
        <v>-2224.4447684901761</v>
      </c>
      <c r="D26" s="4">
        <f>$C$13/(1+$B$7)^($B$8-ТаблицаФ[[#This Row],[Период (№месяца)]]+1)</f>
        <v>-1325.8982282308093</v>
      </c>
      <c r="E26" s="4">
        <f>$C$13*(1-1/(1+$B$7)^($B$8-ТаблицаФ[[#This Row],[Период (№месяца)]]+1))</f>
        <v>-898.54654025936679</v>
      </c>
      <c r="F26" s="4">
        <f>SUM($D$18:D26)</f>
        <v>-11471.24420229413</v>
      </c>
      <c r="G26" s="4">
        <f>ТаблицаФ[[#This Row],[Тело кредита на начало периода]]+ТаблицаФ[[#This Row],[Тело кредита]]</f>
        <v>88528.75579770586</v>
      </c>
      <c r="H26" s="4"/>
      <c r="J26" s="25"/>
      <c r="K26" s="25"/>
    </row>
    <row r="27" spans="1:11" x14ac:dyDescent="0.25">
      <c r="A27" s="3">
        <f>IF(ROW()-ROW(ТаблицаФ[[#Headers],[Период (№месяца)]])&gt;$B$8,0,ROW()-ROW(ТаблицаФ[[#Headers],[Период (№месяца)]]))</f>
        <v>10</v>
      </c>
      <c r="B27" s="4">
        <f>$B$9+SUM($D$17:D26)</f>
        <v>88528.755797705875</v>
      </c>
      <c r="C27" s="4">
        <f t="shared" si="0"/>
        <v>-2224.4447684901761</v>
      </c>
      <c r="D27" s="4">
        <f>$C$13/(1+$B$7)^($B$8-ТаблицаФ[[#This Row],[Период (№месяца)]]+1)</f>
        <v>-1339.1572105131174</v>
      </c>
      <c r="E27" s="4">
        <f>$C$13*(1-1/(1+$B$7)^($B$8-ТаблицаФ[[#This Row],[Период (№месяца)]]+1))</f>
        <v>-885.28755797705867</v>
      </c>
      <c r="F27" s="4">
        <f>SUM($D$18:D27)</f>
        <v>-12810.401412807249</v>
      </c>
      <c r="G27" s="4">
        <f>ТаблицаФ[[#This Row],[Тело кредита на начало периода]]+ТаблицаФ[[#This Row],[Тело кредита]]</f>
        <v>87189.598587192755</v>
      </c>
      <c r="H27" s="4"/>
      <c r="J27" s="25"/>
      <c r="K27" s="25"/>
    </row>
    <row r="28" spans="1:11" x14ac:dyDescent="0.25">
      <c r="A28" s="3">
        <f>IF(ROW()-ROW(ТаблицаФ[[#Headers],[Период (№месяца)]])&gt;$B$8,0,ROW()-ROW(ТаблицаФ[[#Headers],[Период (№месяца)]]))</f>
        <v>11</v>
      </c>
      <c r="B28" s="4">
        <f>$B$9+SUM($D$17:D27)</f>
        <v>87189.598587192755</v>
      </c>
      <c r="C28" s="4">
        <f t="shared" si="0"/>
        <v>-2224.4447684901761</v>
      </c>
      <c r="D28" s="4">
        <f>$C$13/(1+$B$7)^($B$8-ТаблицаФ[[#This Row],[Период (№месяца)]]+1)</f>
        <v>-1352.5487826182484</v>
      </c>
      <c r="E28" s="4">
        <f>$C$13*(1-1/(1+$B$7)^($B$8-ТаблицаФ[[#This Row],[Период (№месяца)]]+1))</f>
        <v>-871.89598587192768</v>
      </c>
      <c r="F28" s="4">
        <f>SUM($D$18:D28)</f>
        <v>-14162.950195425497</v>
      </c>
      <c r="G28" s="4">
        <f>ТаблицаФ[[#This Row],[Тело кредита на начало периода]]+ТаблицаФ[[#This Row],[Тело кредита]]</f>
        <v>85837.049804574504</v>
      </c>
      <c r="H28" s="4"/>
      <c r="J28" s="25"/>
      <c r="K28" s="25"/>
    </row>
    <row r="29" spans="1:11" x14ac:dyDescent="0.25">
      <c r="A29" s="3">
        <f>IF(ROW()-ROW(ТаблицаФ[[#Headers],[Период (№месяца)]])&gt;$B$8,0,ROW()-ROW(ТаблицаФ[[#Headers],[Период (№месяца)]]))</f>
        <v>12</v>
      </c>
      <c r="B29" s="4">
        <f>$B$9+SUM($D$17:D28)</f>
        <v>85837.049804574504</v>
      </c>
      <c r="C29" s="4">
        <f t="shared" si="0"/>
        <v>-2224.4447684901761</v>
      </c>
      <c r="D29" s="4">
        <f>$C$13/(1+$B$7)^($B$8-ТаблицаФ[[#This Row],[Период (№месяца)]]+1)</f>
        <v>-1366.074270444431</v>
      </c>
      <c r="E29" s="4">
        <f>$C$13*(1-1/(1+$B$7)^($B$8-ТаблицаФ[[#This Row],[Период (№месяца)]]+1))</f>
        <v>-858.37049804574519</v>
      </c>
      <c r="F29" s="4">
        <f>SUM($D$18:D29)</f>
        <v>-15529.024465869928</v>
      </c>
      <c r="G29" s="4">
        <f>ТаблицаФ[[#This Row],[Тело кредита на начало периода]]+ТаблицаФ[[#This Row],[Тело кредита]]</f>
        <v>84470.975534130077</v>
      </c>
      <c r="H29" s="4"/>
      <c r="J29" s="25"/>
      <c r="K29" s="25"/>
    </row>
    <row r="30" spans="1:11" x14ac:dyDescent="0.25">
      <c r="A30" s="3">
        <f>IF(ROW()-ROW(ТаблицаФ[[#Headers],[Период (№месяца)]])&gt;$B$8,0,ROW()-ROW(ТаблицаФ[[#Headers],[Период (№месяца)]]))</f>
        <v>13</v>
      </c>
      <c r="B30" s="4">
        <f>$B$9+SUM($D$17:D29)</f>
        <v>84470.975534130077</v>
      </c>
      <c r="C30" s="4">
        <f t="shared" si="0"/>
        <v>-2224.4447684901761</v>
      </c>
      <c r="D30" s="4">
        <f>$C$13/(1+$B$7)^($B$8-ТаблицаФ[[#This Row],[Период (№месяца)]]+1)</f>
        <v>-1379.7350131488754</v>
      </c>
      <c r="E30" s="4">
        <f>$C$13*(1-1/(1+$B$7)^($B$8-ТаблицаФ[[#This Row],[Период (№месяца)]]+1))</f>
        <v>-844.70975534130071</v>
      </c>
      <c r="F30" s="4">
        <f>SUM($D$18:D30)</f>
        <v>-16908.759479018805</v>
      </c>
      <c r="G30" s="4">
        <f>ТаблицаФ[[#This Row],[Тело кредита на начало периода]]+ТаблицаФ[[#This Row],[Тело кредита]]</f>
        <v>83091.240520981199</v>
      </c>
      <c r="H30" s="4"/>
      <c r="J30" s="25"/>
      <c r="K30" s="25"/>
    </row>
    <row r="31" spans="1:11" x14ac:dyDescent="0.25">
      <c r="A31" s="3">
        <f>IF(ROW()-ROW(ТаблицаФ[[#Headers],[Период (№месяца)]])&gt;$B$8,0,ROW()-ROW(ТаблицаФ[[#Headers],[Период (№месяца)]]))</f>
        <v>14</v>
      </c>
      <c r="B31" s="4">
        <f>$B$9+SUM($D$17:D30)</f>
        <v>83091.240520981199</v>
      </c>
      <c r="C31" s="4">
        <f t="shared" si="0"/>
        <v>-2224.4447684901761</v>
      </c>
      <c r="D31" s="4">
        <f>$C$13/(1+$B$7)^($B$8-ТаблицаФ[[#This Row],[Период (№месяца)]]+1)</f>
        <v>-1393.5323632803645</v>
      </c>
      <c r="E31" s="4">
        <f>$C$13*(1-1/(1+$B$7)^($B$8-ТаблицаФ[[#This Row],[Период (№месяца)]]+1))</f>
        <v>-830.91240520981137</v>
      </c>
      <c r="F31" s="4">
        <f>SUM($D$18:D31)</f>
        <v>-18302.291842299168</v>
      </c>
      <c r="G31" s="4">
        <f>ТаблицаФ[[#This Row],[Тело кредита на начало периода]]+ТаблицаФ[[#This Row],[Тело кредита]]</f>
        <v>81697.708157700836</v>
      </c>
      <c r="H31" s="4"/>
      <c r="J31" s="25"/>
      <c r="K31" s="25"/>
    </row>
    <row r="32" spans="1:11" x14ac:dyDescent="0.25">
      <c r="A32" s="3">
        <f>IF(ROW()-ROW(ТаблицаФ[[#Headers],[Период (№месяца)]])&gt;$B$8,0,ROW()-ROW(ТаблицаФ[[#Headers],[Период (№месяца)]]))</f>
        <v>15</v>
      </c>
      <c r="B32" s="4">
        <f>$B$9+SUM($D$17:D31)</f>
        <v>81697.708157700836</v>
      </c>
      <c r="C32" s="4">
        <f t="shared" si="0"/>
        <v>-2224.4447684901761</v>
      </c>
      <c r="D32" s="4">
        <f>$C$13/(1+$B$7)^($B$8-ТаблицаФ[[#This Row],[Период (№месяца)]]+1)</f>
        <v>-1407.4676869131677</v>
      </c>
      <c r="E32" s="4">
        <f>$C$13*(1-1/(1+$B$7)^($B$8-ТаблицаФ[[#This Row],[Период (№месяца)]]+1))</f>
        <v>-816.97708157700845</v>
      </c>
      <c r="F32" s="4">
        <f>SUM($D$18:D32)</f>
        <v>-19709.759529212337</v>
      </c>
      <c r="G32" s="4">
        <f>ТаблицаФ[[#This Row],[Тело кредита на начало периода]]+ТаблицаФ[[#This Row],[Тело кредита]]</f>
        <v>80290.24047078767</v>
      </c>
      <c r="H32" s="4"/>
      <c r="J32" s="25"/>
      <c r="K32" s="25"/>
    </row>
    <row r="33" spans="1:11" x14ac:dyDescent="0.25">
      <c r="A33" s="3">
        <f>IF(ROW()-ROW(ТаблицаФ[[#Headers],[Период (№месяца)]])&gt;$B$8,0,ROW()-ROW(ТаблицаФ[[#Headers],[Период (№месяца)]]))</f>
        <v>16</v>
      </c>
      <c r="B33" s="4">
        <f>$B$9+SUM($D$17:D32)</f>
        <v>80290.240470787656</v>
      </c>
      <c r="C33" s="4">
        <f t="shared" si="0"/>
        <v>-2224.4447684901761</v>
      </c>
      <c r="D33" s="4">
        <f>$C$13/(1+$B$7)^($B$8-ТаблицаФ[[#This Row],[Период (№месяца)]]+1)</f>
        <v>-1421.5423637822996</v>
      </c>
      <c r="E33" s="4">
        <f>$C$13*(1-1/(1+$B$7)^($B$8-ТаблицаФ[[#This Row],[Период (№месяца)]]+1))</f>
        <v>-802.90240470787649</v>
      </c>
      <c r="F33" s="4">
        <f>SUM($D$18:D33)</f>
        <v>-21131.301892994637</v>
      </c>
      <c r="G33" s="4">
        <f>ТаблицаФ[[#This Row],[Тело кредита на начало периода]]+ТаблицаФ[[#This Row],[Тело кредита]]</f>
        <v>78868.698107005359</v>
      </c>
      <c r="H33" s="4"/>
      <c r="J33" s="25"/>
      <c r="K33" s="25"/>
    </row>
    <row r="34" spans="1:11" x14ac:dyDescent="0.25">
      <c r="A34" s="3">
        <f>IF(ROW()-ROW(ТаблицаФ[[#Headers],[Период (№месяца)]])&gt;$B$8,0,ROW()-ROW(ТаблицаФ[[#Headers],[Период (№месяца)]]))</f>
        <v>17</v>
      </c>
      <c r="B34" s="4">
        <f>$B$9+SUM($D$17:D33)</f>
        <v>78868.698107005359</v>
      </c>
      <c r="C34" s="4">
        <f t="shared" si="0"/>
        <v>-2224.4447684901761</v>
      </c>
      <c r="D34" s="4">
        <f>$C$13/(1+$B$7)^($B$8-ТаблицаФ[[#This Row],[Период (№месяца)]]+1)</f>
        <v>-1435.7577874201227</v>
      </c>
      <c r="E34" s="4">
        <f>$C$13*(1-1/(1+$B$7)^($B$8-ТаблицаФ[[#This Row],[Период (№месяца)]]+1))</f>
        <v>-788.68698107005343</v>
      </c>
      <c r="F34" s="4">
        <f>SUM($D$18:D34)</f>
        <v>-22567.059680414761</v>
      </c>
      <c r="G34" s="4">
        <f>ТаблицаФ[[#This Row],[Тело кредита на начало периода]]+ТаблицаФ[[#This Row],[Тело кредита]]</f>
        <v>77432.940319585236</v>
      </c>
      <c r="H34" s="4"/>
      <c r="J34" s="25"/>
      <c r="K34" s="25"/>
    </row>
    <row r="35" spans="1:11" x14ac:dyDescent="0.25">
      <c r="A35" s="3">
        <f>IF(ROW()-ROW(ТаблицаФ[[#Headers],[Период (№месяца)]])&gt;$B$8,0,ROW()-ROW(ТаблицаФ[[#Headers],[Период (№месяца)]]))</f>
        <v>18</v>
      </c>
      <c r="B35" s="4">
        <f>$B$9+SUM($D$17:D34)</f>
        <v>77432.940319585236</v>
      </c>
      <c r="C35" s="4">
        <f t="shared" si="0"/>
        <v>-2224.4447684901761</v>
      </c>
      <c r="D35" s="4">
        <f>$C$13/(1+$B$7)^($B$8-ТаблицаФ[[#This Row],[Период (№месяца)]]+1)</f>
        <v>-1450.115365294324</v>
      </c>
      <c r="E35" s="4">
        <f>$C$13*(1-1/(1+$B$7)^($B$8-ТаблицаФ[[#This Row],[Период (№месяца)]]+1))</f>
        <v>-774.32940319585202</v>
      </c>
      <c r="F35" s="4">
        <f>SUM($D$18:D35)</f>
        <v>-24017.175045709086</v>
      </c>
      <c r="G35" s="4">
        <f>ТаблицаФ[[#This Row],[Тело кредита на начало периода]]+ТаблицаФ[[#This Row],[Тело кредита]]</f>
        <v>75982.824954290918</v>
      </c>
      <c r="H35" s="4"/>
      <c r="J35" s="25"/>
      <c r="K35" s="25"/>
    </row>
    <row r="36" spans="1:11" x14ac:dyDescent="0.25">
      <c r="A36" s="3">
        <f>IF(ROW()-ROW(ТаблицаФ[[#Headers],[Период (№месяца)]])&gt;$B$8,0,ROW()-ROW(ТаблицаФ[[#Headers],[Период (№месяца)]]))</f>
        <v>19</v>
      </c>
      <c r="B36" s="4">
        <f>$B$9+SUM($D$17:D35)</f>
        <v>75982.824954290918</v>
      </c>
      <c r="C36" s="4">
        <f t="shared" si="0"/>
        <v>-2224.4447684901761</v>
      </c>
      <c r="D36" s="4">
        <f>$C$13/(1+$B$7)^($B$8-ТаблицаФ[[#This Row],[Период (№месяца)]]+1)</f>
        <v>-1464.6165189472667</v>
      </c>
      <c r="E36" s="4">
        <f>$C$13*(1-1/(1+$B$7)^($B$8-ТаблицаФ[[#This Row],[Период (№месяца)]]+1))</f>
        <v>-759.82824954290925</v>
      </c>
      <c r="F36" s="4">
        <f>SUM($D$18:D36)</f>
        <v>-25481.791564656352</v>
      </c>
      <c r="G36" s="4">
        <f>ТаблицаФ[[#This Row],[Тело кредита на начало периода]]+ТаблицаФ[[#This Row],[Тело кредита]]</f>
        <v>74518.208435343651</v>
      </c>
      <c r="H36" s="4"/>
      <c r="J36" s="25"/>
      <c r="K36" s="25"/>
    </row>
    <row r="37" spans="1:11" x14ac:dyDescent="0.25">
      <c r="A37" s="3">
        <f>IF(ROW()-ROW(ТаблицаФ[[#Headers],[Период (№месяца)]])&gt;$B$8,0,ROW()-ROW(ТаблицаФ[[#Headers],[Период (№месяца)]]))</f>
        <v>20</v>
      </c>
      <c r="B37" s="4">
        <f>$B$9+SUM($D$17:D36)</f>
        <v>74518.208435343651</v>
      </c>
      <c r="C37" s="4">
        <f t="shared" si="0"/>
        <v>-2224.4447684901761</v>
      </c>
      <c r="D37" s="4">
        <f>$C$13/(1+$B$7)^($B$8-ТаблицаФ[[#This Row],[Период (№месяца)]]+1)</f>
        <v>-1479.2626841367396</v>
      </c>
      <c r="E37" s="4">
        <f>$C$13*(1-1/(1+$B$7)^($B$8-ТаблицаФ[[#This Row],[Период (№месяца)]]+1))</f>
        <v>-745.18208435343649</v>
      </c>
      <c r="F37" s="4">
        <f>SUM($D$18:D37)</f>
        <v>-26961.054248793091</v>
      </c>
      <c r="G37" s="4">
        <f>ТаблицаФ[[#This Row],[Тело кредита на начало периода]]+ТаблицаФ[[#This Row],[Тело кредита]]</f>
        <v>73038.945751206906</v>
      </c>
      <c r="H37" s="4"/>
      <c r="J37" s="25"/>
      <c r="K37" s="25"/>
    </row>
    <row r="38" spans="1:11" x14ac:dyDescent="0.25">
      <c r="A38" s="3">
        <f>IF(ROW()-ROW(ТаблицаФ[[#Headers],[Период (№месяца)]])&gt;$B$8,0,ROW()-ROW(ТаблицаФ[[#Headers],[Период (№месяца)]]))</f>
        <v>21</v>
      </c>
      <c r="B38" s="4">
        <f>$B$9+SUM($D$17:D37)</f>
        <v>73038.945751206906</v>
      </c>
      <c r="C38" s="4">
        <f t="shared" si="0"/>
        <v>-2224.4447684901761</v>
      </c>
      <c r="D38" s="4">
        <f>$C$13/(1+$B$7)^($B$8-ТаблицаФ[[#This Row],[Период (№месяца)]]+1)</f>
        <v>-1494.0553109781072</v>
      </c>
      <c r="E38" s="4">
        <f>$C$13*(1-1/(1+$B$7)^($B$8-ТаблицаФ[[#This Row],[Период (№месяца)]]+1))</f>
        <v>-730.38945751206882</v>
      </c>
      <c r="F38" s="4">
        <f>SUM($D$18:D38)</f>
        <v>-28455.109559771197</v>
      </c>
      <c r="G38" s="4">
        <f>ТаблицаФ[[#This Row],[Тело кредита на начало периода]]+ТаблицаФ[[#This Row],[Тело кредита]]</f>
        <v>71544.890440228803</v>
      </c>
      <c r="H38" s="4"/>
      <c r="J38" s="25"/>
      <c r="K38" s="25"/>
    </row>
    <row r="39" spans="1:11" x14ac:dyDescent="0.25">
      <c r="A39" s="3">
        <f>IF(ROW()-ROW(ТаблицаФ[[#Headers],[Период (№месяца)]])&gt;$B$8,0,ROW()-ROW(ТаблицаФ[[#Headers],[Период (№месяца)]]))</f>
        <v>22</v>
      </c>
      <c r="B39" s="4">
        <f>$B$9+SUM($D$17:D38)</f>
        <v>71544.890440228803</v>
      </c>
      <c r="C39" s="4">
        <f t="shared" si="0"/>
        <v>-2224.4447684901761</v>
      </c>
      <c r="D39" s="4">
        <f>$C$13/(1+$B$7)^($B$8-ТаблицаФ[[#This Row],[Период (№месяца)]]+1)</f>
        <v>-1508.9958640878888</v>
      </c>
      <c r="E39" s="4">
        <f>$C$13*(1-1/(1+$B$7)^($B$8-ТаблицаФ[[#This Row],[Период (№месяца)]]+1))</f>
        <v>-715.44890440228744</v>
      </c>
      <c r="F39" s="4">
        <f>SUM($D$18:D39)</f>
        <v>-29964.105423859088</v>
      </c>
      <c r="G39" s="4">
        <f>ТаблицаФ[[#This Row],[Тело кредита на начало периода]]+ТаблицаФ[[#This Row],[Тело кредита]]</f>
        <v>70035.894576140912</v>
      </c>
      <c r="H39" s="4"/>
      <c r="J39" s="25"/>
      <c r="K39" s="25"/>
    </row>
    <row r="40" spans="1:11" x14ac:dyDescent="0.25">
      <c r="A40" s="3">
        <f>IF(ROW()-ROW(ТаблицаФ[[#Headers],[Период (№месяца)]])&gt;$B$8,0,ROW()-ROW(ТаблицаФ[[#Headers],[Период (№месяца)]]))</f>
        <v>23</v>
      </c>
      <c r="B40" s="4">
        <f>$B$9+SUM($D$17:D39)</f>
        <v>70035.894576140912</v>
      </c>
      <c r="C40" s="4">
        <f t="shared" si="0"/>
        <v>-2224.4447684901761</v>
      </c>
      <c r="D40" s="4">
        <f>$C$13/(1+$B$7)^($B$8-ТаблицаФ[[#This Row],[Период (№месяца)]]+1)</f>
        <v>-1524.0858227287672</v>
      </c>
      <c r="E40" s="4">
        <f>$C$13*(1-1/(1+$B$7)^($B$8-ТаблицаФ[[#This Row],[Период (№месяца)]]+1))</f>
        <v>-700.35894576140902</v>
      </c>
      <c r="F40" s="4">
        <f>SUM($D$18:D40)</f>
        <v>-31488.191246587856</v>
      </c>
      <c r="G40" s="4">
        <f>ТаблицаФ[[#This Row],[Тело кредита на начало периода]]+ТаблицаФ[[#This Row],[Тело кредита]]</f>
        <v>68511.808753412144</v>
      </c>
      <c r="H40" s="4"/>
      <c r="J40" s="25"/>
      <c r="K40" s="25"/>
    </row>
    <row r="41" spans="1:11" x14ac:dyDescent="0.25">
      <c r="A41" s="3">
        <f>IF(ROW()-ROW(ТаблицаФ[[#Headers],[Период (№месяца)]])&gt;$B$8,0,ROW()-ROW(ТаблицаФ[[#Headers],[Период (№месяца)]]))</f>
        <v>24</v>
      </c>
      <c r="B41" s="4">
        <f>$B$9+SUM($D$17:D40)</f>
        <v>68511.808753412144</v>
      </c>
      <c r="C41" s="4">
        <f t="shared" si="0"/>
        <v>-2224.4447684901761</v>
      </c>
      <c r="D41" s="4">
        <f>$C$13/(1+$B$7)^($B$8-ТаблицаФ[[#This Row],[Период (№месяца)]]+1)</f>
        <v>-1539.326680956055</v>
      </c>
      <c r="E41" s="4">
        <f>$C$13*(1-1/(1+$B$7)^($B$8-ТаблицаФ[[#This Row],[Период (№месяца)]]+1))</f>
        <v>-685.11808753412106</v>
      </c>
      <c r="F41" s="4">
        <f>SUM($D$18:D41)</f>
        <v>-33027.517927543908</v>
      </c>
      <c r="G41" s="4">
        <f>ТаблицаФ[[#This Row],[Тело кредита на начало периода]]+ТаблицаФ[[#This Row],[Тело кредита]]</f>
        <v>66972.482072456085</v>
      </c>
      <c r="H41" s="4"/>
      <c r="J41" s="25"/>
      <c r="K41" s="25"/>
    </row>
    <row r="42" spans="1:11" x14ac:dyDescent="0.25">
      <c r="A42" s="3">
        <f>IF(ROW()-ROW(ТаблицаФ[[#Headers],[Период (№месяца)]])&gt;$B$8,0,ROW()-ROW(ТаблицаФ[[#Headers],[Период (№месяца)]]))</f>
        <v>25</v>
      </c>
      <c r="B42" s="4">
        <f>$B$9+SUM($D$17:D41)</f>
        <v>66972.4820724561</v>
      </c>
      <c r="C42" s="4">
        <f t="shared" si="0"/>
        <v>-2224.4447684901761</v>
      </c>
      <c r="D42" s="4">
        <f>$C$13/(1+$B$7)^($B$8-ТаблицаФ[[#This Row],[Период (№месяца)]]+1)</f>
        <v>-1554.7199477656156</v>
      </c>
      <c r="E42" s="4">
        <f>$C$13*(1-1/(1+$B$7)^($B$8-ТаблицаФ[[#This Row],[Период (№месяца)]]+1))</f>
        <v>-669.72482072456057</v>
      </c>
      <c r="F42" s="4">
        <f>SUM($D$18:D42)</f>
        <v>-34582.237875309525</v>
      </c>
      <c r="G42" s="4">
        <f>ТаблицаФ[[#This Row],[Тело кредита на начало периода]]+ТаблицаФ[[#This Row],[Тело кредита]]</f>
        <v>65417.762124690482</v>
      </c>
      <c r="H42" s="4"/>
      <c r="J42" s="25"/>
      <c r="K42" s="25"/>
    </row>
    <row r="43" spans="1:11" x14ac:dyDescent="0.25">
      <c r="A43" s="3">
        <f>IF(ROW()-ROW(ТаблицаФ[[#Headers],[Период (№месяца)]])&gt;$B$8,0,ROW()-ROW(ТаблицаФ[[#Headers],[Период (№месяца)]]))</f>
        <v>26</v>
      </c>
      <c r="B43" s="4">
        <f>$B$9+SUM($D$17:D42)</f>
        <v>65417.762124690475</v>
      </c>
      <c r="C43" s="4">
        <f t="shared" si="0"/>
        <v>-2224.4447684901761</v>
      </c>
      <c r="D43" s="4">
        <f>$C$13/(1+$B$7)^($B$8-ТаблицаФ[[#This Row],[Период (№месяца)]]+1)</f>
        <v>-1570.2671472432719</v>
      </c>
      <c r="E43" s="4">
        <f>$C$13*(1-1/(1+$B$7)^($B$8-ТаблицаФ[[#This Row],[Период (№месяца)]]+1))</f>
        <v>-654.17762124690432</v>
      </c>
      <c r="F43" s="4">
        <f>SUM($D$18:D43)</f>
        <v>-36152.505022552796</v>
      </c>
      <c r="G43" s="4">
        <f>ТаблицаФ[[#This Row],[Тело кредита на начало периода]]+ТаблицаФ[[#This Row],[Тело кредита]]</f>
        <v>63847.494977447204</v>
      </c>
      <c r="H43" s="4"/>
      <c r="J43" s="25"/>
      <c r="K43" s="25"/>
    </row>
    <row r="44" spans="1:11" x14ac:dyDescent="0.25">
      <c r="A44" s="3">
        <f>IF(ROW()-ROW(ТаблицаФ[[#Headers],[Период (№месяца)]])&gt;$B$8,0,ROW()-ROW(ТаблицаФ[[#Headers],[Период (№месяца)]]))</f>
        <v>27</v>
      </c>
      <c r="B44" s="4">
        <f>$B$9+SUM($D$17:D43)</f>
        <v>63847.494977447204</v>
      </c>
      <c r="C44" s="4">
        <f t="shared" si="0"/>
        <v>-2224.4447684901761</v>
      </c>
      <c r="D44" s="4">
        <f>$C$13/(1+$B$7)^($B$8-ТаблицаФ[[#This Row],[Период (№месяца)]]+1)</f>
        <v>-1585.9698187157044</v>
      </c>
      <c r="E44" s="4">
        <f>$C$13*(1-1/(1+$B$7)^($B$8-ТаблицаФ[[#This Row],[Период (№месяца)]]+1))</f>
        <v>-638.47494977447172</v>
      </c>
      <c r="F44" s="4">
        <f>SUM($D$18:D44)</f>
        <v>-37738.4748412685</v>
      </c>
      <c r="G44" s="4">
        <f>ТаблицаФ[[#This Row],[Тело кредита на начало периода]]+ТаблицаФ[[#This Row],[Тело кредита]]</f>
        <v>62261.5251587315</v>
      </c>
      <c r="H44" s="4"/>
      <c r="J44" s="25"/>
      <c r="K44" s="25"/>
    </row>
    <row r="45" spans="1:11" x14ac:dyDescent="0.25">
      <c r="A45" s="3">
        <f>IF(ROW()-ROW(ТаблицаФ[[#Headers],[Период (№месяца)]])&gt;$B$8,0,ROW()-ROW(ТаблицаФ[[#Headers],[Период (№месяца)]]))</f>
        <v>28</v>
      </c>
      <c r="B45" s="4">
        <f>$B$9+SUM($D$17:D44)</f>
        <v>62261.5251587315</v>
      </c>
      <c r="C45" s="4">
        <f t="shared" si="0"/>
        <v>-2224.4447684901761</v>
      </c>
      <c r="D45" s="4">
        <f>$C$13/(1+$B$7)^($B$8-ТаблицаФ[[#This Row],[Период (№месяца)]]+1)</f>
        <v>-1601.8295169028613</v>
      </c>
      <c r="E45" s="4">
        <f>$C$13*(1-1/(1+$B$7)^($B$8-ТаблицаФ[[#This Row],[Период (№месяца)]]+1))</f>
        <v>-622.61525158731467</v>
      </c>
      <c r="F45" s="4">
        <f>SUM($D$18:D45)</f>
        <v>-39340.304358171365</v>
      </c>
      <c r="G45" s="4">
        <f>ТаблицаФ[[#This Row],[Тело кредита на начало периода]]+ТаблицаФ[[#This Row],[Тело кредита]]</f>
        <v>60659.695641828635</v>
      </c>
      <c r="H45" s="4"/>
      <c r="J45" s="25"/>
      <c r="K45" s="25"/>
    </row>
    <row r="46" spans="1:11" x14ac:dyDescent="0.25">
      <c r="A46" s="3">
        <f>IF(ROW()-ROW(ТаблицаФ[[#Headers],[Период (№месяца)]])&gt;$B$8,0,ROW()-ROW(ТаблицаФ[[#Headers],[Период (№месяца)]]))</f>
        <v>29</v>
      </c>
      <c r="B46" s="4">
        <f>$B$9+SUM($D$17:D45)</f>
        <v>60659.695641828635</v>
      </c>
      <c r="C46" s="4">
        <f t="shared" si="0"/>
        <v>-2224.4447684901761</v>
      </c>
      <c r="D46" s="4">
        <f>$C$13/(1+$B$7)^($B$8-ТаблицаФ[[#This Row],[Период (№месяца)]]+1)</f>
        <v>-1617.8478120718901</v>
      </c>
      <c r="E46" s="4">
        <f>$C$13*(1-1/(1+$B$7)^($B$8-ТаблицаФ[[#This Row],[Период (№месяца)]]+1))</f>
        <v>-606.59695641828614</v>
      </c>
      <c r="F46" s="4">
        <f>SUM($D$18:D46)</f>
        <v>-40958.152170243251</v>
      </c>
      <c r="G46" s="4">
        <f>ТаблицаФ[[#This Row],[Тело кредита на начало периода]]+ТаблицаФ[[#This Row],[Тело кредита]]</f>
        <v>59041.847829756749</v>
      </c>
      <c r="H46" s="4"/>
      <c r="J46" s="25"/>
      <c r="K46" s="25"/>
    </row>
    <row r="47" spans="1:11" x14ac:dyDescent="0.25">
      <c r="A47" s="3">
        <f>IF(ROW()-ROW(ТаблицаФ[[#Headers],[Период (№месяца)]])&gt;$B$8,0,ROW()-ROW(ТаблицаФ[[#Headers],[Период (№месяца)]]))</f>
        <v>30</v>
      </c>
      <c r="B47" s="4">
        <f>$B$9+SUM($D$17:D46)</f>
        <v>59041.847829756749</v>
      </c>
      <c r="C47" s="4">
        <f t="shared" si="0"/>
        <v>-2224.4447684901761</v>
      </c>
      <c r="D47" s="4">
        <f>$C$13/(1+$B$7)^($B$8-ТаблицаФ[[#This Row],[Период (№месяца)]]+1)</f>
        <v>-1634.0262901926094</v>
      </c>
      <c r="E47" s="4">
        <f>$C$13*(1-1/(1+$B$7)^($B$8-ТаблицаФ[[#This Row],[Период (№месяца)]]+1))</f>
        <v>-590.41847829756671</v>
      </c>
      <c r="F47" s="4">
        <f>SUM($D$18:D47)</f>
        <v>-42592.178460435862</v>
      </c>
      <c r="G47" s="4">
        <f>ТаблицаФ[[#This Row],[Тело кредита на начало периода]]+ТаблицаФ[[#This Row],[Тело кредита]]</f>
        <v>57407.821539564138</v>
      </c>
      <c r="H47" s="4"/>
      <c r="J47" s="25"/>
      <c r="K47" s="25"/>
    </row>
    <row r="48" spans="1:11" x14ac:dyDescent="0.25">
      <c r="A48" s="3">
        <f>IF(ROW()-ROW(ТаблицаФ[[#Headers],[Период (№месяца)]])&gt;$B$8,0,ROW()-ROW(ТаблицаФ[[#Headers],[Период (№месяца)]]))</f>
        <v>31</v>
      </c>
      <c r="B48" s="4">
        <f>$B$9+SUM($D$17:D47)</f>
        <v>57407.821539564138</v>
      </c>
      <c r="C48" s="4">
        <f t="shared" si="0"/>
        <v>-2224.4447684901761</v>
      </c>
      <c r="D48" s="4">
        <f>$C$13/(1+$B$7)^($B$8-ТаблицаФ[[#This Row],[Период (№месяца)]]+1)</f>
        <v>-1650.3665530945348</v>
      </c>
      <c r="E48" s="4">
        <f>$C$13*(1-1/(1+$B$7)^($B$8-ТаблицаФ[[#This Row],[Период (№месяца)]]+1))</f>
        <v>-574.07821539564122</v>
      </c>
      <c r="F48" s="4">
        <f>SUM($D$18:D48)</f>
        <v>-44242.545013530398</v>
      </c>
      <c r="G48" s="4">
        <f>ТаблицаФ[[#This Row],[Тело кредита на начало периода]]+ТаблицаФ[[#This Row],[Тело кредита]]</f>
        <v>55757.454986469602</v>
      </c>
      <c r="H48" s="4"/>
      <c r="J48" s="25"/>
      <c r="K48" s="25"/>
    </row>
    <row r="49" spans="1:11" x14ac:dyDescent="0.25">
      <c r="A49" s="3">
        <f>IF(ROW()-ROW(ТаблицаФ[[#Headers],[Период (№месяца)]])&gt;$B$8,0,ROW()-ROW(ТаблицаФ[[#Headers],[Период (№месяца)]]))</f>
        <v>32</v>
      </c>
      <c r="B49" s="4">
        <f>$B$9+SUM($D$17:D48)</f>
        <v>55757.454986469602</v>
      </c>
      <c r="C49" s="4">
        <f t="shared" si="0"/>
        <v>-2224.4447684901761</v>
      </c>
      <c r="D49" s="4">
        <f>$C$13/(1+$B$7)^($B$8-ТаблицаФ[[#This Row],[Период (№месяца)]]+1)</f>
        <v>-1666.8702186254804</v>
      </c>
      <c r="E49" s="4">
        <f>$C$13*(1-1/(1+$B$7)^($B$8-ТаблицаФ[[#This Row],[Период (№месяца)]]+1))</f>
        <v>-557.57454986469554</v>
      </c>
      <c r="F49" s="4">
        <f>SUM($D$18:D49)</f>
        <v>-45909.415232155879</v>
      </c>
      <c r="G49" s="4">
        <f>ТаблицаФ[[#This Row],[Тело кредита на начало периода]]+ТаблицаФ[[#This Row],[Тело кредита]]</f>
        <v>54090.584767844121</v>
      </c>
      <c r="H49" s="4"/>
      <c r="J49" s="25"/>
      <c r="K49" s="25"/>
    </row>
    <row r="50" spans="1:11" x14ac:dyDescent="0.25">
      <c r="A50" s="3">
        <f>IF(ROW()-ROW(ТаблицаФ[[#Headers],[Период (№месяца)]])&gt;$B$8,0,ROW()-ROW(ТаблицаФ[[#Headers],[Период (№месяца)]]))</f>
        <v>33</v>
      </c>
      <c r="B50" s="4">
        <f>$B$9+SUM($D$17:D49)</f>
        <v>54090.584767844121</v>
      </c>
      <c r="C50" s="4">
        <f t="shared" ref="C50:C77" si="1">$C$13</f>
        <v>-2224.4447684901761</v>
      </c>
      <c r="D50" s="4">
        <f>$C$13/(1+$B$7)^($B$8-ТаблицаФ[[#This Row],[Период (№месяца)]]+1)</f>
        <v>-1683.5389208117354</v>
      </c>
      <c r="E50" s="4">
        <f>$C$13*(1-1/(1+$B$7)^($B$8-ТаблицаФ[[#This Row],[Период (№месяца)]]+1))</f>
        <v>-540.90584767844075</v>
      </c>
      <c r="F50" s="4">
        <f>SUM($D$18:D50)</f>
        <v>-47592.954152967613</v>
      </c>
      <c r="G50" s="4">
        <f>ТаблицаФ[[#This Row],[Тело кредита на начало периода]]+ТаблицаФ[[#This Row],[Тело кредита]]</f>
        <v>52407.045847032387</v>
      </c>
      <c r="H50" s="4"/>
      <c r="J50" s="25"/>
      <c r="K50" s="25"/>
    </row>
    <row r="51" spans="1:11" x14ac:dyDescent="0.25">
      <c r="A51" s="3">
        <f>IF(ROW()-ROW(ТаблицаФ[[#Headers],[Период (№месяца)]])&gt;$B$8,0,ROW()-ROW(ТаблицаФ[[#Headers],[Период (№месяца)]]))</f>
        <v>34</v>
      </c>
      <c r="B51" s="4">
        <f>$B$9+SUM($D$17:D50)</f>
        <v>52407.045847032387</v>
      </c>
      <c r="C51" s="4">
        <f t="shared" si="1"/>
        <v>-2224.4447684901761</v>
      </c>
      <c r="D51" s="4">
        <f>$C$13/(1+$B$7)^($B$8-ТаблицаФ[[#This Row],[Период (№месяца)]]+1)</f>
        <v>-1700.3743100198528</v>
      </c>
      <c r="E51" s="4">
        <f>$C$13*(1-1/(1+$B$7)^($B$8-ТаблицаФ[[#This Row],[Период (№месяца)]]+1))</f>
        <v>-524.07045847032316</v>
      </c>
      <c r="F51" s="4">
        <f>SUM($D$18:D51)</f>
        <v>-49293.328462987469</v>
      </c>
      <c r="G51" s="4">
        <f>ТаблицаФ[[#This Row],[Тело кредита на начало периода]]+ТаблицаФ[[#This Row],[Тело кредита]]</f>
        <v>50706.671537012531</v>
      </c>
      <c r="H51" s="4"/>
      <c r="J51" s="25"/>
      <c r="K51" s="25"/>
    </row>
    <row r="52" spans="1:11" x14ac:dyDescent="0.25">
      <c r="A52" s="3">
        <f>IF(ROW()-ROW(ТаблицаФ[[#Headers],[Период (№месяца)]])&gt;$B$8,0,ROW()-ROW(ТаблицаФ[[#Headers],[Период (№месяца)]]))</f>
        <v>35</v>
      </c>
      <c r="B52" s="4">
        <f>$B$9+SUM($D$17:D51)</f>
        <v>50706.671537012531</v>
      </c>
      <c r="C52" s="4">
        <f t="shared" si="1"/>
        <v>-2224.4447684901761</v>
      </c>
      <c r="D52" s="4">
        <f>$C$13/(1+$B$7)^($B$8-ТаблицаФ[[#This Row],[Период (№месяца)]]+1)</f>
        <v>-1717.3780531200509</v>
      </c>
      <c r="E52" s="4">
        <f>$C$13*(1-1/(1+$B$7)^($B$8-ТаблицаФ[[#This Row],[Период (№месяца)]]+1))</f>
        <v>-507.06671537012534</v>
      </c>
      <c r="F52" s="4">
        <f>SUM($D$18:D52)</f>
        <v>-51010.706516107522</v>
      </c>
      <c r="G52" s="4">
        <f>ТаблицаФ[[#This Row],[Тело кредита на начало периода]]+ТаблицаФ[[#This Row],[Тело кредита]]</f>
        <v>48989.293483892478</v>
      </c>
      <c r="H52" s="4"/>
      <c r="J52" s="25"/>
      <c r="K52" s="25"/>
    </row>
    <row r="53" spans="1:11" x14ac:dyDescent="0.25">
      <c r="A53" s="3">
        <f>IF(ROW()-ROW(ТаблицаФ[[#Headers],[Период (№месяца)]])&gt;$B$8,0,ROW()-ROW(ТаблицаФ[[#Headers],[Период (№месяца)]]))</f>
        <v>36</v>
      </c>
      <c r="B53" s="4">
        <f>$B$9+SUM($D$17:D52)</f>
        <v>48989.293483892478</v>
      </c>
      <c r="C53" s="4">
        <f t="shared" si="1"/>
        <v>-2224.4447684901761</v>
      </c>
      <c r="D53" s="4">
        <f>$C$13/(1+$B$7)^($B$8-ТаблицаФ[[#This Row],[Период (№месяца)]]+1)</f>
        <v>-1734.5518336512514</v>
      </c>
      <c r="E53" s="4">
        <f>$C$13*(1-1/(1+$B$7)^($B$8-ТаблицаФ[[#This Row],[Период (№месяца)]]+1))</f>
        <v>-489.89293483892487</v>
      </c>
      <c r="F53" s="4">
        <f>SUM($D$18:D53)</f>
        <v>-52745.258349758777</v>
      </c>
      <c r="G53" s="4">
        <f>ТаблицаФ[[#This Row],[Тело кредита на начало периода]]+ТаблицаФ[[#This Row],[Тело кредита]]</f>
        <v>47254.741650241223</v>
      </c>
      <c r="H53" s="4"/>
      <c r="J53" s="25"/>
      <c r="K53" s="25"/>
    </row>
    <row r="54" spans="1:11" x14ac:dyDescent="0.25">
      <c r="A54" s="3">
        <f>IF(ROW()-ROW(ТаблицаФ[[#Headers],[Период (№месяца)]])&gt;$B$8,0,ROW()-ROW(ТаблицаФ[[#Headers],[Период (№месяца)]]))</f>
        <v>37</v>
      </c>
      <c r="B54" s="4">
        <f>$B$9+SUM($D$17:D53)</f>
        <v>47254.741650241223</v>
      </c>
      <c r="C54" s="4">
        <f t="shared" si="1"/>
        <v>-2224.4447684901761</v>
      </c>
      <c r="D54" s="4">
        <f>$C$13/(1+$B$7)^($B$8-ТаблицаФ[[#This Row],[Период (№месяца)]]+1)</f>
        <v>-1751.8973519877641</v>
      </c>
      <c r="E54" s="4">
        <f>$C$13*(1-1/(1+$B$7)^($B$8-ТаблицаФ[[#This Row],[Период (№месяца)]]+1))</f>
        <v>-472.54741650241198</v>
      </c>
      <c r="F54" s="4">
        <f>SUM($D$18:D54)</f>
        <v>-54497.155701746538</v>
      </c>
      <c r="G54" s="4">
        <f>ТаблицаФ[[#This Row],[Тело кредита на начало периода]]+ТаблицаФ[[#This Row],[Тело кредита]]</f>
        <v>45502.844298253462</v>
      </c>
      <c r="H54" s="4"/>
      <c r="J54" s="25"/>
      <c r="K54" s="25"/>
    </row>
    <row r="55" spans="1:11" x14ac:dyDescent="0.25">
      <c r="A55" s="3">
        <f>IF(ROW()-ROW(ТаблицаФ[[#Headers],[Период (№месяца)]])&gt;$B$8,0,ROW()-ROW(ТаблицаФ[[#Headers],[Период (№месяца)]]))</f>
        <v>38</v>
      </c>
      <c r="B55" s="4">
        <f>$B$9+SUM($D$17:D54)</f>
        <v>45502.844298253462</v>
      </c>
      <c r="C55" s="4">
        <f t="shared" si="1"/>
        <v>-2224.4447684901761</v>
      </c>
      <c r="D55" s="4">
        <f>$C$13/(1+$B$7)^($B$8-ТаблицаФ[[#This Row],[Период (№месяца)]]+1)</f>
        <v>-1769.4163255076421</v>
      </c>
      <c r="E55" s="4">
        <f>$C$13*(1-1/(1+$B$7)^($B$8-ТаблицаФ[[#This Row],[Период (№месяца)]]+1))</f>
        <v>-455.0284429825341</v>
      </c>
      <c r="F55" s="4">
        <f>SUM($D$18:D55)</f>
        <v>-56266.57202725418</v>
      </c>
      <c r="G55" s="4">
        <f>ТаблицаФ[[#This Row],[Тело кредита на начало периода]]+ТаблицаФ[[#This Row],[Тело кредита]]</f>
        <v>43733.42797274582</v>
      </c>
      <c r="H55" s="4"/>
      <c r="J55" s="25"/>
      <c r="K55" s="25"/>
    </row>
    <row r="56" spans="1:11" x14ac:dyDescent="0.25">
      <c r="A56" s="3">
        <f>IF(ROW()-ROW(ТаблицаФ[[#Headers],[Период (№месяца)]])&gt;$B$8,0,ROW()-ROW(ТаблицаФ[[#Headers],[Период (№месяца)]]))</f>
        <v>39</v>
      </c>
      <c r="B56" s="4">
        <f>$B$9+SUM($D$17:D55)</f>
        <v>43733.42797274582</v>
      </c>
      <c r="C56" s="4">
        <f t="shared" si="1"/>
        <v>-2224.4447684901761</v>
      </c>
      <c r="D56" s="4">
        <f>$C$13/(1+$B$7)^($B$8-ТаблицаФ[[#This Row],[Период (№месяца)]]+1)</f>
        <v>-1787.1104887627182</v>
      </c>
      <c r="E56" s="4">
        <f>$C$13*(1-1/(1+$B$7)^($B$8-ТаблицаФ[[#This Row],[Период (№месяца)]]+1))</f>
        <v>-437.3342797274579</v>
      </c>
      <c r="F56" s="4">
        <f>SUM($D$18:D56)</f>
        <v>-58053.682516016896</v>
      </c>
      <c r="G56" s="4">
        <f>ТаблицаФ[[#This Row],[Тело кредита на начало периода]]+ТаблицаФ[[#This Row],[Тело кредита]]</f>
        <v>41946.317483983104</v>
      </c>
      <c r="H56" s="4"/>
      <c r="J56" s="25"/>
      <c r="K56" s="25"/>
    </row>
    <row r="57" spans="1:11" x14ac:dyDescent="0.25">
      <c r="A57" s="3">
        <f>IF(ROW()-ROW(ТаблицаФ[[#Headers],[Период (№месяца)]])&gt;$B$8,0,ROW()-ROW(ТаблицаФ[[#Headers],[Период (№месяца)]]))</f>
        <v>40</v>
      </c>
      <c r="B57" s="4">
        <f>$B$9+SUM($D$17:D56)</f>
        <v>41946.317483983104</v>
      </c>
      <c r="C57" s="4">
        <f t="shared" si="1"/>
        <v>-2224.4447684901761</v>
      </c>
      <c r="D57" s="4">
        <f>$C$13/(1+$B$7)^($B$8-ТаблицаФ[[#This Row],[Период (№месяца)]]+1)</f>
        <v>-1804.9815936503458</v>
      </c>
      <c r="E57" s="4">
        <f>$C$13*(1-1/(1+$B$7)^($B$8-ТаблицаФ[[#This Row],[Период (№месяца)]]+1))</f>
        <v>-419.46317483983023</v>
      </c>
      <c r="F57" s="4">
        <f>SUM($D$18:D57)</f>
        <v>-59858.664109667239</v>
      </c>
      <c r="G57" s="4">
        <f>ТаблицаФ[[#This Row],[Тело кредита на начало периода]]+ТаблицаФ[[#This Row],[Тело кредита]]</f>
        <v>40141.335890332761</v>
      </c>
      <c r="H57" s="4"/>
      <c r="J57" s="25"/>
      <c r="K57" s="25"/>
    </row>
    <row r="58" spans="1:11" x14ac:dyDescent="0.25">
      <c r="A58" s="3">
        <f>IF(ROW()-ROW(ТаблицаФ[[#Headers],[Период (№месяца)]])&gt;$B$8,0,ROW()-ROW(ТаблицаФ[[#Headers],[Период (№месяца)]]))</f>
        <v>41</v>
      </c>
      <c r="B58" s="4">
        <f>$B$9+SUM($D$17:D57)</f>
        <v>40141.335890332761</v>
      </c>
      <c r="C58" s="4">
        <f t="shared" si="1"/>
        <v>-2224.4447684901761</v>
      </c>
      <c r="D58" s="4">
        <f>$C$13/(1+$B$7)^($B$8-ТаблицаФ[[#This Row],[Период (№месяца)]]+1)</f>
        <v>-1823.0314095868491</v>
      </c>
      <c r="E58" s="4">
        <f>$C$13*(1-1/(1+$B$7)^($B$8-ТаблицаФ[[#This Row],[Период (№месяца)]]+1))</f>
        <v>-401.41335890332709</v>
      </c>
      <c r="F58" s="4">
        <f>SUM($D$18:D58)</f>
        <v>-61681.695519254092</v>
      </c>
      <c r="G58" s="4">
        <f>ТаблицаФ[[#This Row],[Тело кредита на начало периода]]+ТаблицаФ[[#This Row],[Тело кредита]]</f>
        <v>38318.304480745908</v>
      </c>
      <c r="H58" s="4"/>
      <c r="J58" s="25"/>
      <c r="K58" s="25"/>
    </row>
    <row r="59" spans="1:11" x14ac:dyDescent="0.25">
      <c r="A59" s="3">
        <f>IF(ROW()-ROW(ТаблицаФ[[#Headers],[Период (№месяца)]])&gt;$B$8,0,ROW()-ROW(ТаблицаФ[[#Headers],[Период (№месяца)]]))</f>
        <v>42</v>
      </c>
      <c r="B59" s="4">
        <f>$B$9+SUM($D$17:D58)</f>
        <v>38318.304480745908</v>
      </c>
      <c r="C59" s="4">
        <f t="shared" si="1"/>
        <v>-2224.4447684901761</v>
      </c>
      <c r="D59" s="4">
        <f>$C$13/(1+$B$7)^($B$8-ТаблицаФ[[#This Row],[Период (№месяца)]]+1)</f>
        <v>-1841.2617236827177</v>
      </c>
      <c r="E59" s="4">
        <f>$C$13*(1-1/(1+$B$7)^($B$8-ТаблицаФ[[#This Row],[Период (№месяца)]]+1))</f>
        <v>-383.18304480745832</v>
      </c>
      <c r="F59" s="4">
        <f>SUM($D$18:D59)</f>
        <v>-63522.957242936813</v>
      </c>
      <c r="G59" s="4">
        <f>ТаблицаФ[[#This Row],[Тело кредита на начало периода]]+ТаблицаФ[[#This Row],[Тело кредита]]</f>
        <v>36477.042757063187</v>
      </c>
      <c r="H59" s="4"/>
      <c r="J59" s="25"/>
      <c r="K59" s="25"/>
    </row>
    <row r="60" spans="1:11" x14ac:dyDescent="0.25">
      <c r="A60" s="3">
        <f>IF(ROW()-ROW(ТаблицаФ[[#Headers],[Период (№месяца)]])&gt;$B$8,0,ROW()-ROW(ТаблицаФ[[#Headers],[Период (№месяца)]]))</f>
        <v>43</v>
      </c>
      <c r="B60" s="4">
        <f>$B$9+SUM($D$17:D59)</f>
        <v>36477.042757063187</v>
      </c>
      <c r="C60" s="4">
        <f t="shared" si="1"/>
        <v>-2224.4447684901761</v>
      </c>
      <c r="D60" s="4">
        <f>$C$13/(1+$B$7)^($B$8-ТаблицаФ[[#This Row],[Период (№месяца)]]+1)</f>
        <v>-1859.6743409195446</v>
      </c>
      <c r="E60" s="4">
        <f>$C$13*(1-1/(1+$B$7)^($B$8-ТаблицаФ[[#This Row],[Период (№месяца)]]+1))</f>
        <v>-364.77042757063157</v>
      </c>
      <c r="F60" s="4">
        <f>SUM($D$18:D60)</f>
        <v>-65382.631583856361</v>
      </c>
      <c r="G60" s="4">
        <f>ТаблицаФ[[#This Row],[Тело кредита на начало периода]]+ТаблицаФ[[#This Row],[Тело кредита]]</f>
        <v>34617.368416143639</v>
      </c>
      <c r="H60" s="4"/>
      <c r="J60" s="25"/>
      <c r="K60" s="25"/>
    </row>
    <row r="61" spans="1:11" x14ac:dyDescent="0.25">
      <c r="A61" s="3">
        <f>IF(ROW()-ROW(ТаблицаФ[[#Headers],[Период (№месяца)]])&gt;$B$8,0,ROW()-ROW(ТаблицаФ[[#Headers],[Период (№месяца)]]))</f>
        <v>44</v>
      </c>
      <c r="B61" s="4">
        <f>$B$9+SUM($D$17:D60)</f>
        <v>34617.368416143639</v>
      </c>
      <c r="C61" s="4">
        <f t="shared" si="1"/>
        <v>-2224.4447684901761</v>
      </c>
      <c r="D61" s="4">
        <f>$C$13/(1+$B$7)^($B$8-ТаблицаФ[[#This Row],[Период (№месяца)]]+1)</f>
        <v>-1878.27108432874</v>
      </c>
      <c r="E61" s="4">
        <f>$C$13*(1-1/(1+$B$7)^($B$8-ТаблицаФ[[#This Row],[Период (№месяца)]]+1))</f>
        <v>-346.1736841614362</v>
      </c>
      <c r="F61" s="4">
        <f>SUM($D$18:D61)</f>
        <v>-67260.902668185096</v>
      </c>
      <c r="G61" s="4">
        <f>ТаблицаФ[[#This Row],[Тело кредита на начало периода]]+ТаблицаФ[[#This Row],[Тело кредита]]</f>
        <v>32739.097331814901</v>
      </c>
      <c r="H61" s="4"/>
      <c r="J61" s="25"/>
      <c r="K61" s="25"/>
    </row>
    <row r="62" spans="1:11" x14ac:dyDescent="0.25">
      <c r="A62" s="3">
        <f>IF(ROW()-ROW(ТаблицаФ[[#Headers],[Период (№месяца)]])&gt;$B$8,0,ROW()-ROW(ТаблицаФ[[#Headers],[Период (№месяца)]]))</f>
        <v>45</v>
      </c>
      <c r="B62" s="4">
        <f>$B$9+SUM($D$17:D61)</f>
        <v>32739.097331814904</v>
      </c>
      <c r="C62" s="4">
        <f t="shared" si="1"/>
        <v>-2224.4447684901761</v>
      </c>
      <c r="D62" s="4">
        <f>$C$13/(1+$B$7)^($B$8-ТаблицаФ[[#This Row],[Период (№месяца)]]+1)</f>
        <v>-1897.0537951720275</v>
      </c>
      <c r="E62" s="4">
        <f>$C$13*(1-1/(1+$B$7)^($B$8-ТаблицаФ[[#This Row],[Период (№месяца)]]+1))</f>
        <v>-327.39097331814861</v>
      </c>
      <c r="F62" s="4">
        <f>SUM($D$18:D62)</f>
        <v>-69157.956463357128</v>
      </c>
      <c r="G62" s="4">
        <f>ТаблицаФ[[#This Row],[Тело кредита на начало периода]]+ТаблицаФ[[#This Row],[Тело кредита]]</f>
        <v>30842.043536642876</v>
      </c>
      <c r="H62" s="4"/>
      <c r="J62" s="25"/>
      <c r="K62" s="25"/>
    </row>
    <row r="63" spans="1:11" x14ac:dyDescent="0.25">
      <c r="A63" s="3">
        <f>IF(ROW()-ROW(ТаблицаФ[[#Headers],[Период (№месяца)]])&gt;$B$8,0,ROW()-ROW(ТаблицаФ[[#Headers],[Период (№месяца)]]))</f>
        <v>46</v>
      </c>
      <c r="B63" s="4">
        <f>$B$9+SUM($D$17:D62)</f>
        <v>30842.043536642872</v>
      </c>
      <c r="C63" s="4">
        <f t="shared" si="1"/>
        <v>-2224.4447684901761</v>
      </c>
      <c r="D63" s="4">
        <f>$C$13/(1+$B$7)^($B$8-ТаблицаФ[[#This Row],[Период (№месяца)]]+1)</f>
        <v>-1916.0243331237484</v>
      </c>
      <c r="E63" s="4">
        <f>$C$13*(1-1/(1+$B$7)^($B$8-ТаблицаФ[[#This Row],[Период (№месяца)]]+1))</f>
        <v>-308.42043536642763</v>
      </c>
      <c r="F63" s="4">
        <f>SUM($D$18:D63)</f>
        <v>-71073.980796480872</v>
      </c>
      <c r="G63" s="4">
        <f>ТаблицаФ[[#This Row],[Тело кредита на начало периода]]+ТаблицаФ[[#This Row],[Тело кредита]]</f>
        <v>28926.019203519125</v>
      </c>
      <c r="H63" s="4"/>
      <c r="J63" s="25"/>
      <c r="K63" s="25"/>
    </row>
    <row r="64" spans="1:11" x14ac:dyDescent="0.25">
      <c r="A64" s="3">
        <f>IF(ROW()-ROW(ТаблицаФ[[#Headers],[Период (№месяца)]])&gt;$B$8,0,ROW()-ROW(ТаблицаФ[[#Headers],[Период (№месяца)]]))</f>
        <v>47</v>
      </c>
      <c r="B64" s="4">
        <f>$B$9+SUM($D$17:D63)</f>
        <v>28926.019203519128</v>
      </c>
      <c r="C64" s="4">
        <f t="shared" si="1"/>
        <v>-2224.4447684901761</v>
      </c>
      <c r="D64" s="4">
        <f>$C$13/(1+$B$7)^($B$8-ТаблицаФ[[#This Row],[Период (№месяца)]]+1)</f>
        <v>-1935.1845764549853</v>
      </c>
      <c r="E64" s="4">
        <f>$C$13*(1-1/(1+$B$7)^($B$8-ТаблицаФ[[#This Row],[Период (№месяца)]]+1))</f>
        <v>-289.26019203519064</v>
      </c>
      <c r="F64" s="4">
        <f>SUM($D$18:D64)</f>
        <v>-73009.165372935851</v>
      </c>
      <c r="G64" s="4">
        <f>ТаблицаФ[[#This Row],[Тело кредита на начало периода]]+ТаблицаФ[[#This Row],[Тело кредита]]</f>
        <v>26990.834627064141</v>
      </c>
      <c r="H64" s="4"/>
      <c r="J64" s="25"/>
      <c r="K64" s="25"/>
    </row>
    <row r="65" spans="1:11" x14ac:dyDescent="0.25">
      <c r="A65" s="3">
        <f>IF(ROW()-ROW(ТаблицаФ[[#Headers],[Период (№месяца)]])&gt;$B$8,0,ROW()-ROW(ТаблицаФ[[#Headers],[Период (№месяца)]]))</f>
        <v>48</v>
      </c>
      <c r="B65" s="4">
        <f>$B$9+SUM($D$17:D64)</f>
        <v>26990.834627064149</v>
      </c>
      <c r="C65" s="4">
        <f t="shared" si="1"/>
        <v>-2224.4447684901761</v>
      </c>
      <c r="D65" s="4">
        <f>$C$13/(1+$B$7)^($B$8-ТаблицаФ[[#This Row],[Период (№месяца)]]+1)</f>
        <v>-1954.5364222195356</v>
      </c>
      <c r="E65" s="4">
        <f>$C$13*(1-1/(1+$B$7)^($B$8-ТаблицаФ[[#This Row],[Период (№месяца)]]+1))</f>
        <v>-269.90834627064078</v>
      </c>
      <c r="F65" s="4">
        <f>SUM($D$18:D65)</f>
        <v>-74963.701795155386</v>
      </c>
      <c r="G65" s="4">
        <f>ТаблицаФ[[#This Row],[Тело кредита на начало периода]]+ТаблицаФ[[#This Row],[Тело кредита]]</f>
        <v>25036.298204844614</v>
      </c>
      <c r="H65" s="4"/>
      <c r="J65" s="25"/>
      <c r="K65" s="25"/>
    </row>
    <row r="66" spans="1:11" x14ac:dyDescent="0.25">
      <c r="A66" s="3">
        <f>IF(ROW()-ROW(ТаблицаФ[[#Headers],[Период (№месяца)]])&gt;$B$8,0,ROW()-ROW(ТаблицаФ[[#Headers],[Период (№месяца)]]))</f>
        <v>49</v>
      </c>
      <c r="B66" s="4">
        <f>$B$9+SUM($D$17:D65)</f>
        <v>25036.298204844614</v>
      </c>
      <c r="C66" s="4">
        <f t="shared" si="1"/>
        <v>-2224.4447684901761</v>
      </c>
      <c r="D66" s="4">
        <f>$C$13/(1+$B$7)^($B$8-ТаблицаФ[[#This Row],[Период (№месяца)]]+1)</f>
        <v>-1974.0817864417309</v>
      </c>
      <c r="E66" s="4">
        <f>$C$13*(1-1/(1+$B$7)^($B$8-ТаблицаФ[[#This Row],[Период (№месяца)]]+1))</f>
        <v>-250.36298204844516</v>
      </c>
      <c r="F66" s="4">
        <f>SUM($D$18:D66)</f>
        <v>-76937.783581597119</v>
      </c>
      <c r="G66" s="4">
        <f>ТаблицаФ[[#This Row],[Тело кредита на начало периода]]+ТаблицаФ[[#This Row],[Тело кредита]]</f>
        <v>23062.216418402884</v>
      </c>
      <c r="H66" s="4"/>
      <c r="J66" s="25"/>
      <c r="K66" s="25"/>
    </row>
    <row r="67" spans="1:11" x14ac:dyDescent="0.25">
      <c r="A67" s="3">
        <f>IF(ROW()-ROW(ТаблицаФ[[#Headers],[Период (№месяца)]])&gt;$B$8,0,ROW()-ROW(ТаблицаФ[[#Headers],[Период (№месяца)]]))</f>
        <v>50</v>
      </c>
      <c r="B67" s="4">
        <f>$B$9+SUM($D$17:D66)</f>
        <v>23062.216418402881</v>
      </c>
      <c r="C67" s="4">
        <f t="shared" si="1"/>
        <v>-2224.4447684901761</v>
      </c>
      <c r="D67" s="4">
        <f>$C$13/(1+$B$7)^($B$8-ТаблицаФ[[#This Row],[Период (№месяца)]]+1)</f>
        <v>-1993.8226043061484</v>
      </c>
      <c r="E67" s="4">
        <f>$C$13*(1-1/(1+$B$7)^($B$8-ТаблицаФ[[#This Row],[Период (№месяца)]]+1))</f>
        <v>-230.62216418402778</v>
      </c>
      <c r="F67" s="4">
        <f>SUM($D$18:D67)</f>
        <v>-78931.606185903263</v>
      </c>
      <c r="G67" s="4">
        <f>ТаблицаФ[[#This Row],[Тело кредита на начало периода]]+ТаблицаФ[[#This Row],[Тело кредита]]</f>
        <v>21068.393814096733</v>
      </c>
      <c r="H67" s="4"/>
      <c r="J67" s="25"/>
      <c r="K67" s="25"/>
    </row>
    <row r="68" spans="1:11" x14ac:dyDescent="0.25">
      <c r="A68" s="3">
        <f>IF(ROW()-ROW(ТаблицаФ[[#Headers],[Период (№месяца)]])&gt;$B$8,0,ROW()-ROW(ТаблицаФ[[#Headers],[Период (№месяца)]]))</f>
        <v>51</v>
      </c>
      <c r="B68" s="4">
        <f>$B$9+SUM($D$17:D67)</f>
        <v>21068.393814096737</v>
      </c>
      <c r="C68" s="4">
        <f t="shared" si="1"/>
        <v>-2224.4447684901761</v>
      </c>
      <c r="D68" s="4">
        <f>$C$13/(1+$B$7)^($B$8-ТаблицаФ[[#This Row],[Период (№месяца)]]+1)</f>
        <v>-2013.7608303492093</v>
      </c>
      <c r="E68" s="4">
        <f>$C$13*(1-1/(1+$B$7)^($B$8-ТаблицаФ[[#This Row],[Период (№месяца)]]+1))</f>
        <v>-210.68393814096666</v>
      </c>
      <c r="F68" s="4">
        <f>SUM($D$18:D68)</f>
        <v>-80945.36701625248</v>
      </c>
      <c r="G68" s="4">
        <f>ТаблицаФ[[#This Row],[Тело кредита на начало периода]]+ТаблицаФ[[#This Row],[Тело кредита]]</f>
        <v>19054.632983747528</v>
      </c>
      <c r="H68" s="4"/>
      <c r="J68" s="25"/>
      <c r="K68" s="25"/>
    </row>
    <row r="69" spans="1:11" x14ac:dyDescent="0.25">
      <c r="A69" s="3">
        <f>IF(ROW()-ROW(ТаблицаФ[[#Headers],[Период (№месяца)]])&gt;$B$8,0,ROW()-ROW(ТаблицаФ[[#Headers],[Период (№месяца)]]))</f>
        <v>52</v>
      </c>
      <c r="B69" s="4">
        <f>$B$9+SUM($D$17:D68)</f>
        <v>19054.63298374752</v>
      </c>
      <c r="C69" s="4">
        <f t="shared" si="1"/>
        <v>-2224.4447684901761</v>
      </c>
      <c r="D69" s="4">
        <f>$C$13/(1+$B$7)^($B$8-ТаблицаФ[[#This Row],[Период (№месяца)]]+1)</f>
        <v>-2033.8984386527015</v>
      </c>
      <c r="E69" s="4">
        <f>$C$13*(1-1/(1+$B$7)^($B$8-ТаблицаФ[[#This Row],[Период (№месяца)]]+1))</f>
        <v>-190.54632983747476</v>
      </c>
      <c r="F69" s="4">
        <f>SUM($D$18:D69)</f>
        <v>-82979.26545490518</v>
      </c>
      <c r="G69" s="4">
        <f>ТаблицаФ[[#This Row],[Тело кредита на начало периода]]+ТаблицаФ[[#This Row],[Тело кредита]]</f>
        <v>17020.73454509482</v>
      </c>
      <c r="H69" s="4"/>
      <c r="J69" s="25"/>
      <c r="K69" s="25"/>
    </row>
    <row r="70" spans="1:11" x14ac:dyDescent="0.25">
      <c r="A70" s="3">
        <f>IF(ROW()-ROW(ТаблицаФ[[#Headers],[Период (№месяца)]])&gt;$B$8,0,ROW()-ROW(ТаблицаФ[[#Headers],[Период (№месяца)]]))</f>
        <v>53</v>
      </c>
      <c r="B70" s="4">
        <f>$B$9+SUM($D$17:D69)</f>
        <v>17020.73454509482</v>
      </c>
      <c r="C70" s="4">
        <f t="shared" si="1"/>
        <v>-2224.4447684901761</v>
      </c>
      <c r="D70" s="4">
        <f>$C$13/(1+$B$7)^($B$8-ТаблицаФ[[#This Row],[Период (№месяца)]]+1)</f>
        <v>-2054.2374230392288</v>
      </c>
      <c r="E70" s="4">
        <f>$C$13*(1-1/(1+$B$7)^($B$8-ТаблицаФ[[#This Row],[Период (№месяца)]]+1))</f>
        <v>-170.2073454509474</v>
      </c>
      <c r="F70" s="4">
        <f>SUM($D$18:D70)</f>
        <v>-85033.502877944411</v>
      </c>
      <c r="G70" s="4">
        <f>ТаблицаФ[[#This Row],[Тело кредита на начало периода]]+ТаблицаФ[[#This Row],[Тело кредита]]</f>
        <v>14966.497122055591</v>
      </c>
      <c r="H70" s="4"/>
      <c r="J70" s="25"/>
      <c r="K70" s="25"/>
    </row>
    <row r="71" spans="1:11" x14ac:dyDescent="0.25">
      <c r="A71" s="3">
        <f>IF(ROW()-ROW(ТаблицаФ[[#Headers],[Период (№месяца)]])&gt;$B$8,0,ROW()-ROW(ТаблицаФ[[#Headers],[Период (№месяца)]]))</f>
        <v>54</v>
      </c>
      <c r="B71" s="4">
        <f>$B$9+SUM($D$17:D70)</f>
        <v>14966.497122055589</v>
      </c>
      <c r="C71" s="4">
        <f t="shared" si="1"/>
        <v>-2224.4447684901761</v>
      </c>
      <c r="D71" s="4">
        <f>$C$13/(1+$B$7)^($B$8-ТаблицаФ[[#This Row],[Период (№месяца)]]+1)</f>
        <v>-2074.7797972696217</v>
      </c>
      <c r="E71" s="4">
        <f>$C$13*(1-1/(1+$B$7)^($B$8-ТаблицаФ[[#This Row],[Период (№месяца)]]+1))</f>
        <v>-149.66497122055458</v>
      </c>
      <c r="F71" s="4">
        <f>SUM($D$18:D71)</f>
        <v>-87108.282675214039</v>
      </c>
      <c r="G71" s="4">
        <f>ТаблицаФ[[#This Row],[Тело кредита на начало периода]]+ТаблицаФ[[#This Row],[Тело кредита]]</f>
        <v>12891.717324785968</v>
      </c>
      <c r="H71" s="4"/>
      <c r="J71" s="25"/>
      <c r="K71" s="25"/>
    </row>
    <row r="72" spans="1:11" x14ac:dyDescent="0.25">
      <c r="A72" s="3">
        <f>IF(ROW()-ROW(ТаблицаФ[[#Headers],[Период (№месяца)]])&gt;$B$8,0,ROW()-ROW(ТаблицаФ[[#Headers],[Период (№месяца)]]))</f>
        <v>55</v>
      </c>
      <c r="B72" s="4">
        <f>$B$9+SUM($D$17:D71)</f>
        <v>12891.717324785961</v>
      </c>
      <c r="C72" s="4">
        <f t="shared" si="1"/>
        <v>-2224.4447684901761</v>
      </c>
      <c r="D72" s="4">
        <f>$C$13/(1+$B$7)^($B$8-ТаблицаФ[[#This Row],[Период (№месяца)]]+1)</f>
        <v>-2095.5275952423171</v>
      </c>
      <c r="E72" s="4">
        <f>$C$13*(1-1/(1+$B$7)^($B$8-ТаблицаФ[[#This Row],[Период (№месяца)]]+1))</f>
        <v>-128.91717324785907</v>
      </c>
      <c r="F72" s="4">
        <f>SUM($D$18:D72)</f>
        <v>-89203.81027045635</v>
      </c>
      <c r="G72" s="4">
        <f>ТаблицаФ[[#This Row],[Тело кредита на начало периода]]+ТаблицаФ[[#This Row],[Тело кредита]]</f>
        <v>10796.189729543643</v>
      </c>
      <c r="H72" s="4"/>
      <c r="J72" s="25"/>
      <c r="K72" s="25"/>
    </row>
    <row r="73" spans="1:11" x14ac:dyDescent="0.25">
      <c r="A73" s="3">
        <f>IF(ROW()-ROW(ТаблицаФ[[#Headers],[Период (№месяца)]])&gt;$B$8,0,ROW()-ROW(ТаблицаФ[[#Headers],[Период (№месяца)]]))</f>
        <v>56</v>
      </c>
      <c r="B73" s="4">
        <f>$B$9+SUM($D$17:D72)</f>
        <v>10796.18972954365</v>
      </c>
      <c r="C73" s="4">
        <f t="shared" si="1"/>
        <v>-2224.4447684901761</v>
      </c>
      <c r="D73" s="4">
        <f>$C$13/(1+$B$7)^($B$8-ТаблицаФ[[#This Row],[Период (№месяца)]]+1)</f>
        <v>-2116.4828711947407</v>
      </c>
      <c r="E73" s="4">
        <f>$C$13*(1-1/(1+$B$7)^($B$8-ТаблицаФ[[#This Row],[Период (№месяца)]]+1))</f>
        <v>-107.96189729543538</v>
      </c>
      <c r="F73" s="4">
        <f>SUM($D$18:D73)</f>
        <v>-91320.293141651084</v>
      </c>
      <c r="G73" s="4">
        <f>ТаблицаФ[[#This Row],[Тело кредита на начало периода]]+ТаблицаФ[[#This Row],[Тело кредита]]</f>
        <v>8679.706858348909</v>
      </c>
      <c r="H73" s="4"/>
      <c r="J73" s="25"/>
      <c r="K73" s="25"/>
    </row>
    <row r="74" spans="1:11" x14ac:dyDescent="0.25">
      <c r="A74" s="3">
        <f>IF(ROW()-ROW(ТаблицаФ[[#Headers],[Период (№месяца)]])&gt;$B$8,0,ROW()-ROW(ТаблицаФ[[#Headers],[Период (№месяца)]]))</f>
        <v>57</v>
      </c>
      <c r="B74" s="4">
        <f>$B$9+SUM($D$17:D73)</f>
        <v>8679.7068583489163</v>
      </c>
      <c r="C74" s="4">
        <f t="shared" si="1"/>
        <v>-2224.4447684901761</v>
      </c>
      <c r="D74" s="4">
        <f>$C$13/(1+$B$7)^($B$8-ТаблицаФ[[#This Row],[Период (№месяца)]]+1)</f>
        <v>-2137.6476999066881</v>
      </c>
      <c r="E74" s="4">
        <f>$C$13*(1-1/(1+$B$7)^($B$8-ТаблицаФ[[#This Row],[Период (№месяца)]]+1))</f>
        <v>-86.797068583488297</v>
      </c>
      <c r="F74" s="4">
        <f>SUM($D$18:D74)</f>
        <v>-93457.940841557778</v>
      </c>
      <c r="G74" s="4">
        <f>ТаблицаФ[[#This Row],[Тело кредита на начало периода]]+ТаблицаФ[[#This Row],[Тело кредита]]</f>
        <v>6542.0591584422282</v>
      </c>
      <c r="H74" s="4"/>
      <c r="J74" s="25"/>
      <c r="K74" s="25"/>
    </row>
    <row r="75" spans="1:11" x14ac:dyDescent="0.25">
      <c r="A75" s="3">
        <f>IF(ROW()-ROW(ТаблицаФ[[#Headers],[Период (№месяца)]])&gt;$B$8,0,ROW()-ROW(ТаблицаФ[[#Headers],[Период (№месяца)]]))</f>
        <v>58</v>
      </c>
      <c r="B75" s="4">
        <f>$B$9+SUM($D$17:D74)</f>
        <v>6542.0591584422218</v>
      </c>
      <c r="C75" s="4">
        <f t="shared" si="1"/>
        <v>-2224.4447684901761</v>
      </c>
      <c r="D75" s="4">
        <f>$C$13/(1+$B$7)^($B$8-ТаблицаФ[[#This Row],[Период (№месяца)]]+1)</f>
        <v>-2159.0241769057552</v>
      </c>
      <c r="E75" s="4">
        <f>$C$13*(1-1/(1+$B$7)^($B$8-ТаблицаФ[[#This Row],[Период (№месяца)]]+1))</f>
        <v>-65.420591584421089</v>
      </c>
      <c r="F75" s="4">
        <f>SUM($D$18:D75)</f>
        <v>-95616.965018463539</v>
      </c>
      <c r="G75" s="4">
        <f>ТаблицаФ[[#This Row],[Тело кредита на начало периода]]+ТаблицаФ[[#This Row],[Тело кредита]]</f>
        <v>4383.0349815364661</v>
      </c>
      <c r="H75" s="4"/>
      <c r="J75" s="25"/>
      <c r="K75" s="25"/>
    </row>
    <row r="76" spans="1:11" x14ac:dyDescent="0.25">
      <c r="A76" s="3">
        <f>IF(ROW()-ROW(ТаблицаФ[[#Headers],[Период (№месяца)]])&gt;$B$8,0,ROW()-ROW(ТаблицаФ[[#Headers],[Период (№месяца)]]))</f>
        <v>59</v>
      </c>
      <c r="B76" s="4">
        <f>$B$9+SUM($D$17:D75)</f>
        <v>4383.0349815364607</v>
      </c>
      <c r="C76" s="4">
        <f t="shared" si="1"/>
        <v>-2224.4447684901761</v>
      </c>
      <c r="D76" s="4">
        <f>$C$13/(1+$B$7)^($B$8-ТаблицаФ[[#This Row],[Период (№месяца)]]+1)</f>
        <v>-2180.6144186748124</v>
      </c>
      <c r="E76" s="4">
        <f>$C$13*(1-1/(1+$B$7)^($B$8-ТаблицаФ[[#This Row],[Период (№месяца)]]+1))</f>
        <v>-43.830349815363853</v>
      </c>
      <c r="F76" s="4">
        <f>SUM($D$18:D76)</f>
        <v>-97797.579437138353</v>
      </c>
      <c r="G76" s="4">
        <f>ТаблицаФ[[#This Row],[Тело кредита на начало периода]]+ТаблицаФ[[#This Row],[Тело кредита]]</f>
        <v>2202.4205628616482</v>
      </c>
      <c r="H76" s="4"/>
      <c r="J76" s="25"/>
      <c r="K76" s="25"/>
    </row>
    <row r="77" spans="1:11" x14ac:dyDescent="0.25">
      <c r="A77" s="3">
        <f>IF(ROW()-ROW(ТаблицаФ[[#Headers],[Период (№месяца)]])&gt;$B$8,0,ROW()-ROW(ТаблицаФ[[#Headers],[Период (№месяца)]]))</f>
        <v>60</v>
      </c>
      <c r="B77" s="4">
        <f>$B$9+SUM($D$17:D76)</f>
        <v>2202.4205628616473</v>
      </c>
      <c r="C77" s="4">
        <f t="shared" si="1"/>
        <v>-2224.4447684901761</v>
      </c>
      <c r="D77" s="4">
        <f>$C$13/(1+$B$7)^($B$8-ТаблицаФ[[#This Row],[Период (№месяца)]]+1)</f>
        <v>-2202.4205628615605</v>
      </c>
      <c r="E77" s="4">
        <f>$C$13*(1-1/(1+$B$7)^($B$8-ТаблицаФ[[#This Row],[Период (№месяца)]]+1))</f>
        <v>-22.024205628615626</v>
      </c>
      <c r="F77" s="4">
        <f>SUM($D$18:D77)</f>
        <v>-99999.999999999913</v>
      </c>
      <c r="G77" s="4">
        <f>ТаблицаФ[[#This Row],[Тело кредита на начало периода]]+ТаблицаФ[[#This Row],[Тело кредита]]</f>
        <v>8.6856744019314647E-11</v>
      </c>
      <c r="H77" s="4"/>
      <c r="J77" s="25"/>
      <c r="K77" s="25"/>
    </row>
    <row r="78" spans="1:11" x14ac:dyDescent="0.25">
      <c r="A78" t="s">
        <v>31</v>
      </c>
      <c r="C78" s="4">
        <f>SUBTOTAL(109,ТаблицаФ[Регулярный платеж])</f>
        <v>-133466.68610941074</v>
      </c>
      <c r="D78" s="4">
        <f>SUBTOTAL(109,ТаблицаФ[Тело кредита])</f>
        <v>-99999.999999999913</v>
      </c>
      <c r="E78" s="4">
        <f>SUBTOTAL(109,ТаблицаФ[Процент к уплате])</f>
        <v>-33466.686109410664</v>
      </c>
      <c r="F78" s="4"/>
      <c r="G78" s="4"/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D9"/>
  <sheetViews>
    <sheetView workbookViewId="0">
      <selection activeCell="D30" sqref="D30"/>
    </sheetView>
  </sheetViews>
  <sheetFormatPr defaultRowHeight="15" x14ac:dyDescent="0.25"/>
  <cols>
    <col min="1" max="1" width="10.7109375" customWidth="1"/>
  </cols>
  <sheetData>
    <row r="1" spans="1:4" x14ac:dyDescent="0.25">
      <c r="A1" s="44" t="s">
        <v>3</v>
      </c>
      <c r="B1" s="45"/>
      <c r="C1" s="46"/>
    </row>
    <row r="3" spans="1:4" x14ac:dyDescent="0.25">
      <c r="B3" s="47" t="s">
        <v>1</v>
      </c>
      <c r="C3" s="48"/>
      <c r="D3" s="49"/>
    </row>
    <row r="4" spans="1:4" x14ac:dyDescent="0.25">
      <c r="A4" s="50" t="s">
        <v>0</v>
      </c>
      <c r="B4" s="53" t="s">
        <v>2</v>
      </c>
      <c r="C4" s="54"/>
      <c r="D4" s="55"/>
    </row>
    <row r="5" spans="1:4" x14ac:dyDescent="0.25">
      <c r="A5" s="51"/>
      <c r="B5" s="56"/>
      <c r="C5" s="57"/>
      <c r="D5" s="58"/>
    </row>
    <row r="6" spans="1:4" x14ac:dyDescent="0.25">
      <c r="A6" s="51"/>
      <c r="B6" s="56"/>
      <c r="C6" s="57"/>
      <c r="D6" s="58"/>
    </row>
    <row r="7" spans="1:4" x14ac:dyDescent="0.25">
      <c r="A7" s="51"/>
      <c r="B7" s="56"/>
      <c r="C7" s="57"/>
      <c r="D7" s="58"/>
    </row>
    <row r="8" spans="1:4" x14ac:dyDescent="0.25">
      <c r="A8" s="51"/>
      <c r="B8" s="56"/>
      <c r="C8" s="57"/>
      <c r="D8" s="58"/>
    </row>
    <row r="9" spans="1:4" x14ac:dyDescent="0.25">
      <c r="A9" s="52"/>
      <c r="B9" s="59"/>
      <c r="C9" s="60"/>
      <c r="D9" s="61"/>
    </row>
  </sheetData>
  <mergeCells count="4">
    <mergeCell ref="A1:C1"/>
    <mergeCell ref="B3:D3"/>
    <mergeCell ref="A4:A9"/>
    <mergeCell ref="B4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Аннуитет (ПЛТ)</vt:lpstr>
      <vt:lpstr>EXCEL2.RU</vt:lpstr>
      <vt:lpstr>Аннуитет (без ПЛТ)</vt:lpstr>
      <vt:lpstr>Лист7</vt:lpstr>
    </vt:vector>
  </TitlesOfParts>
  <Company>excel2.ru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-=Zirex=-</cp:lastModifiedBy>
  <dcterms:created xsi:type="dcterms:W3CDTF">2012-05-10T04:44:58Z</dcterms:created>
  <dcterms:modified xsi:type="dcterms:W3CDTF">2017-08-07T09:00:32Z</dcterms:modified>
</cp:coreProperties>
</file>